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0" windowWidth="11415" windowHeight="9480" tabRatio="909" firstSheet="17" activeTab="19"/>
  </bookViews>
  <sheets>
    <sheet name="Amoco Refinery 10335" sheetId="1" r:id="rId1"/>
    <sheet name="BYU 10790" sheetId="2" r:id="rId2"/>
    <sheet name="Brush Wellman 10311" sheetId="3" r:id="rId3"/>
    <sheet name="Chevron Refinery 10119" sheetId="4" r:id="rId4"/>
    <sheet name="Continental Lime 10313" sheetId="5" r:id="rId5"/>
    <sheet name="Davis County Solid Waste 10129" sheetId="6" r:id="rId6"/>
    <sheet name="Flying J Refinery 10122" sheetId="7" r:id="rId7"/>
    <sheet name="Geneva Steel 10796" sheetId="8" r:id="rId8"/>
    <sheet name="Graymont Wstrn 10313" sheetId="9" r:id="rId9"/>
    <sheet name="Holnam Devils Slide 10007" sheetId="10" r:id="rId10"/>
    <sheet name="Intermtn Power 10327" sheetId="11" r:id="rId11"/>
    <sheet name="Interstate Brick 10423" sheetId="12" r:id="rId12"/>
    <sheet name="Kennecott Smelter 10346" sheetId="13" r:id="rId13"/>
    <sheet name="Kennecott N Concentrator  10572" sheetId="14" r:id="rId14"/>
    <sheet name="Pacificorp Carbon Pwr 10081" sheetId="15" r:id="rId15"/>
    <sheet name="Pacificorp Hunter Pwr 10237" sheetId="16" r:id="rId16"/>
    <sheet name="Pacificorp Huntington Pwr 10238" sheetId="17" r:id="rId17"/>
    <sheet name="Phillips 66 Refinery 10123" sheetId="18" r:id="rId18"/>
    <sheet name="Sunnyside Cogen 10096" sheetId="19" r:id="rId19"/>
    <sheet name="Tom Brown 10034" sheetId="20" r:id="rId20"/>
    <sheet name="Utah State University 10047" sheetId="21" r:id="rId21"/>
    <sheet name="Wasatch Const. 12096" sheetId="22" r:id="rId22"/>
  </sheets>
  <definedNames>
    <definedName name="_xlnm.Print_Area" localSheetId="0">'Amoco Refinery 10335'!$A$6:$AB$26</definedName>
    <definedName name="_xlnm.Print_Area" localSheetId="2">'Brush Wellman 10311'!$A$5:$AB$27</definedName>
    <definedName name="_xlnm.Print_Area" localSheetId="1">'BYU 10790'!$A$6:$AB$26</definedName>
    <definedName name="_xlnm.Print_Area" localSheetId="3">'Chevron Refinery 10119'!$A$5:$AB$50</definedName>
    <definedName name="_xlnm.Print_Area" localSheetId="4">'Continental Lime 10313'!$A$7:$AB$36</definedName>
    <definedName name="_xlnm.Print_Area" localSheetId="5">'Davis County Solid Waste 10129'!$A$6:$AB$21</definedName>
    <definedName name="_xlnm.Print_Area" localSheetId="6">'Flying J Refinery 10122'!$A$9:$AB$52</definedName>
    <definedName name="_xlnm.Print_Area" localSheetId="7">'Geneva Steel 10796'!$A$7:$AB$48</definedName>
    <definedName name="_xlnm.Print_Area" localSheetId="8">'Graymont Wstrn 10313'!$A$6:$AB$40</definedName>
    <definedName name="_xlnm.Print_Area" localSheetId="9">'Holnam Devils Slide 10007'!$A$7:$AB$22</definedName>
    <definedName name="_xlnm.Print_Area" localSheetId="10">'Intermtn Power 10327'!$A$6:$AB$16</definedName>
    <definedName name="_xlnm.Print_Area" localSheetId="11">'Interstate Brick 10423'!$A$6:$AB$29</definedName>
    <definedName name="_xlnm.Print_Area" localSheetId="13">'Kennecott N Concentrator  10572'!$A$6:$AD$30</definedName>
    <definedName name="_xlnm.Print_Area" localSheetId="12">'Kennecott Smelter 10346'!$A$6:$AB$29</definedName>
    <definedName name="_xlnm.Print_Area" localSheetId="14">'Pacificorp Carbon Pwr 10081'!$A$6:$AB$48</definedName>
    <definedName name="_xlnm.Print_Area" localSheetId="15">'Pacificorp Hunter Pwr 10237'!$A$6:$AB$51</definedName>
    <definedName name="_xlnm.Print_Area" localSheetId="16">'Pacificorp Huntington Pwr 10238'!$A$6:$AB$53</definedName>
    <definedName name="_xlnm.Print_Area" localSheetId="17">'Phillips 66 Refinery 10123'!$A$6:$AC$57</definedName>
    <definedName name="_xlnm.Print_Area" localSheetId="18">'Sunnyside Cogen 10096'!$A$6:$AC$32</definedName>
    <definedName name="_xlnm.Print_Area" localSheetId="19">'Tom Brown 10034'!$A$6:$AC$30</definedName>
    <definedName name="_xlnm.Print_Area" localSheetId="20">'Utah State University 10047'!$A$6:$AB$56</definedName>
    <definedName name="_xlnm.Print_Area" localSheetId="21">'Wasatch Const. 12096'!$A$6:$AB$38</definedName>
    <definedName name="_xlnm.Print_Titles" localSheetId="0">'Amoco Refinery 10335'!$B:$B</definedName>
    <definedName name="_xlnm.Print_Titles" localSheetId="2">'Brush Wellman 10311'!$B:$B</definedName>
    <definedName name="_xlnm.Print_Titles" localSheetId="1">'BYU 10790'!$B:$B</definedName>
    <definedName name="_xlnm.Print_Titles" localSheetId="3">'Chevron Refinery 10119'!$B:$B</definedName>
    <definedName name="_xlnm.Print_Titles" localSheetId="4">'Continental Lime 10313'!$B:$B</definedName>
    <definedName name="_xlnm.Print_Titles" localSheetId="5">'Davis County Solid Waste 10129'!$B:$B</definedName>
    <definedName name="_xlnm.Print_Titles" localSheetId="6">'Flying J Refinery 10122'!$B:$B,'Flying J Refinery 10122'!$9:$11</definedName>
    <definedName name="_xlnm.Print_Titles" localSheetId="7">'Geneva Steel 10796'!$B:$B</definedName>
    <definedName name="_xlnm.Print_Titles" localSheetId="8">'Graymont Wstrn 10313'!$B:$B</definedName>
    <definedName name="_xlnm.Print_Titles" localSheetId="9">'Holnam Devils Slide 10007'!$B:$B</definedName>
    <definedName name="_xlnm.Print_Titles" localSheetId="11">'Interstate Brick 10423'!$B:$B</definedName>
    <definedName name="_xlnm.Print_Titles" localSheetId="13">'Kennecott N Concentrator  10572'!$B:$B</definedName>
    <definedName name="_xlnm.Print_Titles" localSheetId="12">'Kennecott Smelter 10346'!$B:$B</definedName>
    <definedName name="_xlnm.Print_Titles" localSheetId="14">'Pacificorp Carbon Pwr 10081'!$B:$B</definedName>
    <definedName name="_xlnm.Print_Titles" localSheetId="15">'Pacificorp Hunter Pwr 10237'!$B:$B</definedName>
    <definedName name="_xlnm.Print_Titles" localSheetId="16">'Pacificorp Huntington Pwr 10238'!$B:$B</definedName>
    <definedName name="_xlnm.Print_Titles" localSheetId="17">'Phillips 66 Refinery 10123'!$B:$B</definedName>
    <definedName name="_xlnm.Print_Titles" localSheetId="18">'Sunnyside Cogen 10096'!$B:$B</definedName>
    <definedName name="_xlnm.Print_Titles" localSheetId="19">'Tom Brown 10034'!$B:$B</definedName>
    <definedName name="_xlnm.Print_Titles" localSheetId="20">'Utah State University 10047'!$B:$B</definedName>
    <definedName name="_xlnm.Print_Titles" localSheetId="21">'Wasatch Const. 12096'!$B:$B</definedName>
  </definedNames>
  <calcPr fullCalcOnLoad="1"/>
</workbook>
</file>

<file path=xl/comments13.xml><?xml version="1.0" encoding="utf-8"?>
<comments xmlns="http://schemas.openxmlformats.org/spreadsheetml/2006/main">
  <authors>
    <author>cnielsen</author>
  </authors>
  <commentList>
    <comment ref="Z15" authorId="0">
      <text>
        <r>
          <rPr>
            <sz val="8"/>
            <rFont val="Tahoma"/>
            <family val="0"/>
          </rPr>
          <t xml:space="preserve">AP-42. Table 3.4-1
</t>
        </r>
      </text>
    </comment>
    <comment ref="Z16" authorId="0">
      <text>
        <r>
          <rPr>
            <sz val="8"/>
            <rFont val="Tahoma"/>
            <family val="0"/>
          </rPr>
          <t xml:space="preserve">AP-42. Table 3.4-1
</t>
        </r>
      </text>
    </comment>
    <comment ref="Z17" authorId="0">
      <text>
        <r>
          <rPr>
            <sz val="8"/>
            <rFont val="Tahoma"/>
            <family val="0"/>
          </rPr>
          <t xml:space="preserve">AP42.  Table 3.3-1
</t>
        </r>
      </text>
    </comment>
  </commentList>
</comments>
</file>

<file path=xl/comments4.xml><?xml version="1.0" encoding="utf-8"?>
<comments xmlns="http://schemas.openxmlformats.org/spreadsheetml/2006/main">
  <authors>
    <author>cnielsen</author>
  </authors>
  <commentList>
    <comment ref="W9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1A-1 and 1A-2 not split out in NEI</t>
        </r>
      </text>
    </comment>
    <comment ref="W10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1A-1 and 1A-2 not split out in NEI</t>
        </r>
      </text>
    </comment>
    <comment ref="W11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1B-1 and 1B-2 not split out in NEI</t>
        </r>
      </text>
    </comment>
    <comment ref="W1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1B-1 and 1B-2 not split out in NEI</t>
        </r>
      </text>
    </comment>
    <comment ref="W2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6A-1 and 6A-2 not split out in NEI
</t>
        </r>
      </text>
    </comment>
    <comment ref="W23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6A-1 and 6A-2 not split out in NEI
</t>
        </r>
      </text>
    </comment>
  </commentList>
</comments>
</file>

<file path=xl/comments7.xml><?xml version="1.0" encoding="utf-8"?>
<comments xmlns="http://schemas.openxmlformats.org/spreadsheetml/2006/main">
  <authors>
    <author>cnielsen</author>
  </authors>
  <commentList>
    <comment ref="Z12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Natual Gas and Plant Gas were combined in NEI</t>
        </r>
      </text>
    </comment>
    <comment ref="Z13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
</t>
        </r>
      </text>
    </comment>
    <comment ref="Z14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5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6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7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8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19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0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  <comment ref="Z21" authorId="0">
      <text>
        <r>
          <rPr>
            <b/>
            <sz val="8"/>
            <rFont val="Tahoma"/>
            <family val="0"/>
          </rPr>
          <t>cnielsen:</t>
        </r>
        <r>
          <rPr>
            <sz val="8"/>
            <rFont val="Tahoma"/>
            <family val="0"/>
          </rPr>
          <t xml:space="preserve">
Natural Gas and Plant Gas were combined in NEI</t>
        </r>
      </text>
    </comment>
  </commentList>
</comments>
</file>

<file path=xl/sharedStrings.xml><?xml version="1.0" encoding="utf-8"?>
<sst xmlns="http://schemas.openxmlformats.org/spreadsheetml/2006/main" count="4221" uniqueCount="1007">
  <si>
    <t>9228 number of vehicles increased from 1 in 1996 to 2 in 1998</t>
  </si>
  <si>
    <t>13704, 13705, 13707, and 13709 EF changed from .00205 in 1996 to .0021 in 1998</t>
  </si>
  <si>
    <t>(EF .136 lbs/mmbtu x (1436663 tons coal x 2000 lb/ton) x (11822 lb/btu/1000000 btu)) / 2000 lbs/ton = 2311.81</t>
  </si>
  <si>
    <t>(EF 7 lbs/1000gal x (119924 gal/year / 1000 gals)/  2000 lbs/ton = 0.42</t>
  </si>
  <si>
    <t>(EF .14 lbs/mmbtu x (1569980 tons coal x 2000 lb/ton) x (11665 bl/btu/1000000 btu)) / 2000 lbs/ton = 2563.93</t>
  </si>
  <si>
    <t>(EF 7 lbs/1000gal x (76430 gal/year / 1000 gals)/  2000 lbs/ton = 0.27</t>
  </si>
  <si>
    <t>(EF 7 lbs/1000gal x 555754 gal/year / 1000 gals)/  2000 lbs/ton =1.95</t>
  </si>
  <si>
    <t>(EF .45 lbs/hour x 2080 hr/yr / 2000)  x 2 vehicles = 0.94</t>
  </si>
  <si>
    <t>(EF 7 lbs/1000gal x (0 gal/year / 1000 gals)/  2000 lbs/ton = 0</t>
  </si>
  <si>
    <t>(EF 0.0021 lb/hp-hr x 26 hours/year x 1070 hp) /2000 lbs/ton = 0.03</t>
  </si>
  <si>
    <t>(EF 0.0021 lb/hp-hr x 26 hours/year x 915 hp) /2000 lbs/ton = 0.02</t>
  </si>
  <si>
    <t>(EF 0.0021 lb/hp-hr x 26 hours/year x 167 hp) /2000 lbs/ton = 0.004</t>
  </si>
  <si>
    <t>4030 heating value of coal changed from 11367 in 1996 to 11545 in 1998</t>
  </si>
  <si>
    <t>Permit DAQE-860-97</t>
  </si>
  <si>
    <t>lbs/ton ANFO</t>
  </si>
  <si>
    <t>AP-42, Table 13.3-1</t>
  </si>
  <si>
    <t>11726, 11727 and 11728 EF for propane changed from .3 in 1996 to .31 in 1998</t>
  </si>
  <si>
    <t>Rotary Lime Kiln #4</t>
  </si>
  <si>
    <t xml:space="preserve">Lime </t>
  </si>
  <si>
    <t>Fuel for Kiln #4</t>
  </si>
  <si>
    <t>Blast ANFO</t>
  </si>
  <si>
    <t>Bitiminous Coal</t>
  </si>
  <si>
    <t>Fuel for Kiln #3</t>
  </si>
  <si>
    <t>ton/yr</t>
  </si>
  <si>
    <t>AP-42 vol 2</t>
  </si>
  <si>
    <t>(EF 22.4 lbs/hr x 3311 hr/yr / 2000 lbs/ton)  = 37.083 tons</t>
  </si>
  <si>
    <t>(EF 22.4 lbs/hr x 2764 hr/yr / 2000 lbs/ton) = 30.96 tons</t>
  </si>
  <si>
    <t>(EF 22.4 lbs/hr x 6066 hr/yr / 2000 lbs/ton) = 82.50 tons</t>
  </si>
  <si>
    <t>1197 EF changed from 31.3 in 1996 to to 31.1 in 1998</t>
  </si>
  <si>
    <t>New components 11730, 20141, 20138, and 5188</t>
  </si>
  <si>
    <t>Difference between 1996 and 1998</t>
  </si>
  <si>
    <t>Component 5677 not included in 1998.</t>
  </si>
  <si>
    <t>Total inlet sulfur plant gas stream for 1996 = 4,599792 MCF/yr</t>
  </si>
  <si>
    <t>Total inlet gas stream for 1998 = 17171582 MCF/yr</t>
  </si>
  <si>
    <t>H2S average is 1.076</t>
  </si>
  <si>
    <t>Average gas chromatograph H2S for inlet plant gas stream = 1.076%</t>
  </si>
  <si>
    <t>Tons of Sox in Plant inlet gas stream -= 15888 tons/Sox/yr</t>
  </si>
  <si>
    <t>Tons of Sox in sulfur plant inlet gas stream = 15849 tons Sox/yr</t>
  </si>
  <si>
    <t>15888 tons/Sox/yr</t>
  </si>
  <si>
    <t>39 tons Sox/yr</t>
  </si>
  <si>
    <t>15849 tons/Sox/yr</t>
  </si>
  <si>
    <t>Intermountain Power Service Corp.</t>
  </si>
  <si>
    <t>Company Name</t>
  </si>
  <si>
    <t>Intermountain Generation Station</t>
  </si>
  <si>
    <t>Boiler-Coal fired</t>
  </si>
  <si>
    <t>01.0a</t>
  </si>
  <si>
    <t>Boiler</t>
  </si>
  <si>
    <t>02.0a</t>
  </si>
  <si>
    <t>btu/lb</t>
  </si>
  <si>
    <t>tons/yr</t>
  </si>
  <si>
    <t>magawatts</t>
  </si>
  <si>
    <t>Kennecott Utah Copper Corp.</t>
  </si>
  <si>
    <t>Smelter, Refinery, Lab</t>
  </si>
  <si>
    <t>Site ID</t>
  </si>
  <si>
    <t>Site Name</t>
  </si>
  <si>
    <t>If Throughput is a Fuel</t>
  </si>
  <si>
    <t>Design Rate</t>
  </si>
  <si>
    <t xml:space="preserve">
Amount</t>
  </si>
  <si>
    <t xml:space="preserve">
Units/Yr</t>
  </si>
  <si>
    <t xml:space="preserve">
Units</t>
  </si>
  <si>
    <t>Heating
Value</t>
  </si>
  <si>
    <t>%
Sulfur</t>
  </si>
  <si>
    <t>%
Ash</t>
  </si>
  <si>
    <t xml:space="preserve">
NSPS (Yes/No)</t>
  </si>
  <si>
    <t xml:space="preserve">
Associated Stack ID</t>
  </si>
  <si>
    <t xml:space="preserve">
Raw Material or Fuel used</t>
  </si>
  <si>
    <t xml:space="preserve">
Description of Process</t>
  </si>
  <si>
    <t xml:space="preserve">
SCC</t>
  </si>
  <si>
    <t xml:space="preserve">
Pt Source
ID</t>
  </si>
  <si>
    <t xml:space="preserve">
DAQ ID</t>
  </si>
  <si>
    <t>Primary Control</t>
  </si>
  <si>
    <t>Secondary Control</t>
  </si>
  <si>
    <t xml:space="preserve">
Pollutant
SOx</t>
  </si>
  <si>
    <t xml:space="preserve">
Control Code (See List)</t>
  </si>
  <si>
    <t xml:space="preserve">
% Emissions from Breakdown</t>
  </si>
  <si>
    <t xml:space="preserve">
Emissions**
(tons/yr)</t>
  </si>
  <si>
    <t xml:space="preserve">
Estimate Code</t>
  </si>
  <si>
    <t xml:space="preserve">
Emission Factor</t>
  </si>
  <si>
    <t xml:space="preserve">
Units</t>
  </si>
  <si>
    <t xml:space="preserve">
Comments</t>
  </si>
  <si>
    <t xml:space="preserve">
Control Efficiency (%)</t>
  </si>
  <si>
    <t xml:space="preserve">
Name of
Primary Control</t>
  </si>
  <si>
    <t xml:space="preserve">
Name of
Secondary Control</t>
  </si>
  <si>
    <t>Form #</t>
  </si>
  <si>
    <t>Regional Haze</t>
  </si>
  <si>
    <t>Formula(s) for calculating emissions</t>
  </si>
  <si>
    <t>Amoco Petroleum Products</t>
  </si>
  <si>
    <t>Salt Lake City Refinery</t>
  </si>
  <si>
    <t>2</t>
  </si>
  <si>
    <t>01</t>
  </si>
  <si>
    <t>crude unit furnace</t>
  </si>
  <si>
    <t/>
  </si>
  <si>
    <t>SOx</t>
  </si>
  <si>
    <t>mol % H2S in gas</t>
  </si>
  <si>
    <t>ultraformer furnace</t>
  </si>
  <si>
    <t>3</t>
  </si>
  <si>
    <t>regenerator heater</t>
  </si>
  <si>
    <t>9</t>
  </si>
  <si>
    <t>sulfur recovery unit</t>
  </si>
  <si>
    <t>acid gas</t>
  </si>
  <si>
    <t>average CEM reading</t>
  </si>
  <si>
    <t>4</t>
  </si>
  <si>
    <t>FCU/CO boiler</t>
  </si>
  <si>
    <t>5</t>
  </si>
  <si>
    <t>boiler plant</t>
  </si>
  <si>
    <t>6</t>
  </si>
  <si>
    <t>ultraformer compressor</t>
  </si>
  <si>
    <t>7</t>
  </si>
  <si>
    <t>south flare</t>
  </si>
  <si>
    <t>8</t>
  </si>
  <si>
    <t>north flare</t>
  </si>
  <si>
    <t>5a</t>
  </si>
  <si>
    <t>PLT</t>
  </si>
  <si>
    <t>Pilots</t>
  </si>
  <si>
    <t>No</t>
  </si>
  <si>
    <t>Yes</t>
  </si>
  <si>
    <t>Sulfur Plant</t>
  </si>
  <si>
    <t>LB/HOUR</t>
  </si>
  <si>
    <t>TOTAL</t>
  </si>
  <si>
    <t>plant gas</t>
  </si>
  <si>
    <t>btu/cu ft</t>
  </si>
  <si>
    <t>natural gas</t>
  </si>
  <si>
    <t>Diesel #2</t>
  </si>
  <si>
    <t>btu/gal</t>
  </si>
  <si>
    <t>mmscf</t>
  </si>
  <si>
    <t>lbs/mmscf</t>
  </si>
  <si>
    <t>mmbtu</t>
  </si>
  <si>
    <t>hrs</t>
  </si>
  <si>
    <t>mgal</t>
  </si>
  <si>
    <t>H2S ppm</t>
  </si>
  <si>
    <t>Brigham Young University</t>
  </si>
  <si>
    <t>Main Campus</t>
  </si>
  <si>
    <t>HTHW gen #2,3,5 w/baghouse</t>
  </si>
  <si>
    <t>n/a</t>
  </si>
  <si>
    <t>HTHW generators 1, 4, 6 - fuel oil</t>
  </si>
  <si>
    <t>12</t>
  </si>
  <si>
    <t>Fabric Filter - High Temperature, i.e., T&gt;250 F</t>
  </si>
  <si>
    <t>Bituminous Coal</t>
  </si>
  <si>
    <t>tons</t>
  </si>
  <si>
    <t>Brush Resources Incorporated</t>
  </si>
  <si>
    <t>Delta Mill</t>
  </si>
  <si>
    <t>S-9</t>
  </si>
  <si>
    <t>sulfate mill</t>
  </si>
  <si>
    <t>Sulfuric acid</t>
  </si>
  <si>
    <t>S-10</t>
  </si>
  <si>
    <t>small boiler (back-up)</t>
  </si>
  <si>
    <t>#5 Fuel oil</t>
  </si>
  <si>
    <t>S-11</t>
  </si>
  <si>
    <t>process steam boiler</t>
  </si>
  <si>
    <t>F-6</t>
  </si>
  <si>
    <t>diesel combustion equipment</t>
  </si>
  <si>
    <t>S-8</t>
  </si>
  <si>
    <t>Roasting Grinding</t>
  </si>
  <si>
    <t>Venturi Scrubber</t>
  </si>
  <si>
    <t>Coal</t>
  </si>
  <si>
    <t>39 X percent sulfur X tons coal / 2000 = tons Sox</t>
  </si>
  <si>
    <t>Hours/year</t>
  </si>
  <si>
    <t>Propane</t>
  </si>
  <si>
    <t>Fuel oil</t>
  </si>
  <si>
    <t>Diesel</t>
  </si>
  <si>
    <t>User calculated based on agency's emission factor</t>
  </si>
  <si>
    <t>Table 1.4-1 (10/96)</t>
  </si>
  <si>
    <t>Table 1.5-1 (7/93)</t>
  </si>
  <si>
    <t xml:space="preserve">Table 1.3-2 </t>
  </si>
  <si>
    <r>
      <t>Propane weighs 0.1196 lb/ft</t>
    </r>
    <r>
      <rPr>
        <vertAlign val="superscript"/>
        <sz val="10"/>
        <rFont val="Arial"/>
        <family val="2"/>
      </rPr>
      <t>3</t>
    </r>
  </si>
  <si>
    <r>
      <t>S = 0.10 grains/ft</t>
    </r>
    <r>
      <rPr>
        <vertAlign val="superscript"/>
        <sz val="10"/>
        <rFont val="Arial"/>
        <family val="2"/>
      </rPr>
      <t>3</t>
    </r>
  </si>
  <si>
    <t>Sox = 0.10(10.3) = 1.03 lbs/1000 gal</t>
  </si>
  <si>
    <t>Vol II Table II-7.1</t>
  </si>
  <si>
    <t>Salt Lake Refinery</t>
  </si>
  <si>
    <t>1a-1</t>
  </si>
  <si>
    <t>Boilers 1 &amp; 2</t>
  </si>
  <si>
    <t>1b-1</t>
  </si>
  <si>
    <t>Boilers 3 &amp; 4</t>
  </si>
  <si>
    <t>2a-1</t>
  </si>
  <si>
    <t>Crude F-1and F2</t>
  </si>
  <si>
    <t>3a</t>
  </si>
  <si>
    <t>FCC F-21</t>
  </si>
  <si>
    <t>3b</t>
  </si>
  <si>
    <t>FCC F-23</t>
  </si>
  <si>
    <t>3c</t>
  </si>
  <si>
    <t>FCC Reg./CO Boiler</t>
  </si>
  <si>
    <t>3d</t>
  </si>
  <si>
    <t>Cracker Flare</t>
  </si>
  <si>
    <t>HDN F7110 &amp; F-7130</t>
  </si>
  <si>
    <t>Reformer F-1</t>
  </si>
  <si>
    <t>5b</t>
  </si>
  <si>
    <t>Reformer F-2</t>
  </si>
  <si>
    <t>5c</t>
  </si>
  <si>
    <t>Reformer F-3</t>
  </si>
  <si>
    <t>6a-1</t>
  </si>
  <si>
    <t>Alkylation F-3617 (fuel gas)</t>
  </si>
  <si>
    <t>6b</t>
  </si>
  <si>
    <t>Alky Flare</t>
  </si>
  <si>
    <t>gas</t>
  </si>
  <si>
    <t>7a</t>
  </si>
  <si>
    <t>Coker F-7001</t>
  </si>
  <si>
    <t>7b</t>
  </si>
  <si>
    <t>Coker Flare</t>
  </si>
  <si>
    <t>8a</t>
  </si>
  <si>
    <t>HDS F-10</t>
  </si>
  <si>
    <t>8b</t>
  </si>
  <si>
    <t>HDS F-11</t>
  </si>
  <si>
    <t>15a</t>
  </si>
  <si>
    <t>10</t>
  </si>
  <si>
    <t>Reform. Comp. Drivers</t>
  </si>
  <si>
    <t>Fuel Gas</t>
  </si>
  <si>
    <t>Natural Gas</t>
  </si>
  <si>
    <t>Direct Flame Afterburner</t>
  </si>
  <si>
    <t>Flaring</t>
  </si>
  <si>
    <t>lbs/mmcf</t>
  </si>
  <si>
    <t>lbs/mbbls</t>
  </si>
  <si>
    <t>Boilers #1 &amp; 2</t>
  </si>
  <si>
    <t>1a-2</t>
  </si>
  <si>
    <t>Boilers #3 &amp; 4</t>
  </si>
  <si>
    <t>1b-2</t>
  </si>
  <si>
    <t>NA</t>
  </si>
  <si>
    <t>Source Test</t>
  </si>
  <si>
    <t>Gas</t>
  </si>
  <si>
    <t>6a-2</t>
  </si>
  <si>
    <t>Alkylation F-3617 (polymer fueled)</t>
  </si>
  <si>
    <t>Polymer</t>
  </si>
  <si>
    <t>lbs/mbbs</t>
  </si>
  <si>
    <t>CEM</t>
  </si>
  <si>
    <t>*TOTAL</t>
  </si>
  <si>
    <t>Chevron Products Company</t>
  </si>
  <si>
    <t>Graymont Western US Incorporated</t>
  </si>
  <si>
    <t>Cricket Mountain Plant</t>
  </si>
  <si>
    <t>20</t>
  </si>
  <si>
    <t>Miscellaneous-Equip (gas)</t>
  </si>
  <si>
    <t>Gasoline</t>
  </si>
  <si>
    <t>AP-42, vol 2, Part 2 Table II-7.1, 1/75</t>
  </si>
  <si>
    <t>Bulldozer</t>
  </si>
  <si>
    <t>Diesel #2 (Diesel)</t>
  </si>
  <si>
    <t>AP-42, vol 2 Part 2 Table II-7.1, 1/75</t>
  </si>
  <si>
    <t>Grader</t>
  </si>
  <si>
    <t>Front End Loaders</t>
  </si>
  <si>
    <t>Haul Truck</t>
  </si>
  <si>
    <t>151</t>
  </si>
  <si>
    <t>Lime Kiln #1 (D75)</t>
  </si>
  <si>
    <t>limestone</t>
  </si>
  <si>
    <t>Permit DAQE-021-96</t>
  </si>
  <si>
    <t>152</t>
  </si>
  <si>
    <t>Lime Kiln #2 (D275)</t>
  </si>
  <si>
    <t>153</t>
  </si>
  <si>
    <t>Lime Kiln #3 (D375)</t>
  </si>
  <si>
    <t>12a</t>
  </si>
  <si>
    <t xml:space="preserve"> Water Truck</t>
  </si>
  <si>
    <t>13a</t>
  </si>
  <si>
    <t>Forklift</t>
  </si>
  <si>
    <t>20a</t>
  </si>
  <si>
    <t>Miscellaneous Equip.-Diesel</t>
  </si>
  <si>
    <t>151c</t>
  </si>
  <si>
    <t>Fuel for K1</t>
  </si>
  <si>
    <t>Propane - Gaseous</t>
  </si>
  <si>
    <t>AP-42, Table 1.5-2 1/95</t>
  </si>
  <si>
    <t>152c</t>
  </si>
  <si>
    <t>Fuel for K2</t>
  </si>
  <si>
    <t>153c</t>
  </si>
  <si>
    <t>Fuel for K3</t>
  </si>
  <si>
    <t>AP-42, Table 1.5-2, 1/95</t>
  </si>
  <si>
    <t>(Was Continental Lime Inc.)</t>
  </si>
  <si>
    <t>Tons/day</t>
  </si>
  <si>
    <t>Flying J Incorporated</t>
  </si>
  <si>
    <t>Flying J Refinery (Big West Oil Co.)</t>
  </si>
  <si>
    <t>H-402</t>
  </si>
  <si>
    <t>Crude Furnace (vertical)</t>
  </si>
  <si>
    <t>Plant Gas - Gaseous</t>
  </si>
  <si>
    <t>H-401</t>
  </si>
  <si>
    <t>Crude furnace (broach)</t>
  </si>
  <si>
    <t>H-403</t>
  </si>
  <si>
    <t>Crude Unit Heater</t>
  </si>
  <si>
    <t>H-501</t>
  </si>
  <si>
    <t>Vacuum Heater</t>
  </si>
  <si>
    <t>H-602</t>
  </si>
  <si>
    <t>Unifiner Stripper Heater</t>
  </si>
  <si>
    <t>H-601</t>
  </si>
  <si>
    <t>Unifiner Charge Heater</t>
  </si>
  <si>
    <t>H-621</t>
  </si>
  <si>
    <t>Reformer Heater</t>
  </si>
  <si>
    <t>BLR-1</t>
  </si>
  <si>
    <t>#1 Boiler</t>
  </si>
  <si>
    <t>BLR-2</t>
  </si>
  <si>
    <t>#2 Boiler</t>
  </si>
  <si>
    <t>H-101</t>
  </si>
  <si>
    <t>TCC Heater</t>
  </si>
  <si>
    <t>H-301</t>
  </si>
  <si>
    <t>Alky Feed Heater</t>
  </si>
  <si>
    <t>D-103</t>
  </si>
  <si>
    <t>Cat. Regen. System</t>
  </si>
  <si>
    <t>BLR-6</t>
  </si>
  <si>
    <t>#6 Boiler</t>
  </si>
  <si>
    <t>FL-1</t>
  </si>
  <si>
    <t>#1 Flare</t>
  </si>
  <si>
    <t>GB201</t>
  </si>
  <si>
    <t>Reformer Compressor</t>
  </si>
  <si>
    <t>FL-2</t>
  </si>
  <si>
    <t># 2 flare</t>
  </si>
  <si>
    <t>H-1001</t>
  </si>
  <si>
    <t>HDS Heater</t>
  </si>
  <si>
    <t>H-1201</t>
  </si>
  <si>
    <t>MDDW Heater</t>
  </si>
  <si>
    <t>H-1002</t>
  </si>
  <si>
    <t>HDS Stripper Heater</t>
  </si>
  <si>
    <t>H-1102</t>
  </si>
  <si>
    <t>LB/10^3 BARRELS</t>
  </si>
  <si>
    <t xml:space="preserve">
Emissions
(tons/yr)</t>
  </si>
  <si>
    <t>AP-42 5th Edition Section 5.1 (1/95) for pilot.  Flared Acid Gas is due to a SRU breakdown- Feed Stream is intermittently fed to flares.  No method of calculation provided by Flying J.</t>
  </si>
  <si>
    <t>AP 42 Sec. 5.1 (1/95) Adjusted by sulfur content of plant vs national average (18ppm/331ppm)</t>
  </si>
  <si>
    <t>D-103 Sox (lb/1000 bbl) = (Feed, bbl/day/4958 bbl/day) * (wt% sulfur in feed/0.106 wt%) * (15.063 lb/hr) * (oper.)</t>
  </si>
  <si>
    <t>Geneva Steel</t>
  </si>
  <si>
    <t>Steel Manufacturing Facility</t>
  </si>
  <si>
    <t>FG04</t>
  </si>
  <si>
    <t>Other (unspecified)</t>
  </si>
  <si>
    <t>FG03</t>
  </si>
  <si>
    <t>CP02</t>
  </si>
  <si>
    <t>coke oven gas desulfurization (S.R.F.)</t>
  </si>
  <si>
    <t>Coke Oven Gas</t>
  </si>
  <si>
    <t>CP29</t>
  </si>
  <si>
    <t>Hot oil heater - srf</t>
  </si>
  <si>
    <t>BF04</t>
  </si>
  <si>
    <t>Stoves</t>
  </si>
  <si>
    <t>BF05</t>
  </si>
  <si>
    <t>Blast Furnace Gas</t>
  </si>
  <si>
    <t>BF08</t>
  </si>
  <si>
    <t>Fume suppression</t>
  </si>
  <si>
    <t>QB17a</t>
  </si>
  <si>
    <t>Steam boiler #1</t>
  </si>
  <si>
    <t>QB18a</t>
  </si>
  <si>
    <t>Steam boiler #2</t>
  </si>
  <si>
    <t>PH02</t>
  </si>
  <si>
    <t>Boilers</t>
  </si>
  <si>
    <t>PH04</t>
  </si>
  <si>
    <t>PH03</t>
  </si>
  <si>
    <t>PH05</t>
  </si>
  <si>
    <t>RM02</t>
  </si>
  <si>
    <t>Soaking pits</t>
  </si>
  <si>
    <t>RM03</t>
  </si>
  <si>
    <t>RM04</t>
  </si>
  <si>
    <t>Reheat furnaces</t>
  </si>
  <si>
    <t>RM05</t>
  </si>
  <si>
    <t>Reheat Furnaces</t>
  </si>
  <si>
    <t>RM06</t>
  </si>
  <si>
    <t>Residual Oil #6</t>
  </si>
  <si>
    <t>CP07</t>
  </si>
  <si>
    <t>coal charging in coke ovens</t>
  </si>
  <si>
    <t>CP08</t>
  </si>
  <si>
    <t>door leaks at coke plant</t>
  </si>
  <si>
    <t>RM09</t>
  </si>
  <si>
    <t>Ladle Preheat</t>
  </si>
  <si>
    <t>RM11</t>
  </si>
  <si>
    <t>Tundish Preheat</t>
  </si>
  <si>
    <t>QB17b</t>
  </si>
  <si>
    <t>Steam Boiler #1</t>
  </si>
  <si>
    <t>Fuel Oil #4 (Diesel &amp; Residual Mix)</t>
  </si>
  <si>
    <t>QB18b</t>
  </si>
  <si>
    <t>Steam Boiler #2</t>
  </si>
  <si>
    <t>BF13</t>
  </si>
  <si>
    <t>Cupola Exhaust</t>
  </si>
  <si>
    <t>FG06</t>
  </si>
  <si>
    <t>Back up Gen; Admin Bldg.</t>
  </si>
  <si>
    <t>FG07</t>
  </si>
  <si>
    <t>Back up Gen; Rolling Mill</t>
  </si>
  <si>
    <t>AP42 Vol II Table II-7.2</t>
  </si>
  <si>
    <t>10^6 cu ft/yr</t>
  </si>
  <si>
    <t>CP02 Sulfur Plant</t>
  </si>
  <si>
    <t>na</t>
  </si>
  <si>
    <t>AP42 Table 1.4-2 (10/92)</t>
  </si>
  <si>
    <t>*Coke Oven Gas</t>
  </si>
  <si>
    <t>mmcf/year</t>
  </si>
  <si>
    <t>General AO</t>
  </si>
  <si>
    <t>AP42 Table 1.4-1 (10/86)</t>
  </si>
  <si>
    <t>AP42 Table 1.4-1 (9/85)</t>
  </si>
  <si>
    <t>Included in plant COG calculation</t>
  </si>
  <si>
    <t>(.8234 LBS/MMCF) /  (75 BTU/CF)</t>
  </si>
  <si>
    <t>(Tons/Coal/Hr)*(S)/(100)*(64 lb Sox/32 lb S)*(2000 lbs/ton)</t>
  </si>
  <si>
    <t>Hrs/year</t>
  </si>
  <si>
    <t>Sulfur Content = 2000 gr/10^6 SCF</t>
  </si>
  <si>
    <t>AP42 Table 1.3-2 (1/96)</t>
  </si>
  <si>
    <t>AP42 Table 7.2-1 (10/86)</t>
  </si>
  <si>
    <t>No data in AP42</t>
  </si>
  <si>
    <t>AP42 Table 1.4-1 (Commercial Boiler Factor) (10/92)</t>
  </si>
  <si>
    <t>PFC - NOI, Jan. 1995</t>
  </si>
  <si>
    <t>**Scrap, Coke, Ore, Flux</t>
  </si>
  <si>
    <t>Back-Up Generator NOI</t>
  </si>
  <si>
    <t>Holnam Incorporated</t>
  </si>
  <si>
    <t>Devil's Slide Plant</t>
  </si>
  <si>
    <t>05</t>
  </si>
  <si>
    <t>End Dump Trucks</t>
  </si>
  <si>
    <t>02</t>
  </si>
  <si>
    <t>07</t>
  </si>
  <si>
    <t>Graders</t>
  </si>
  <si>
    <t>08</t>
  </si>
  <si>
    <t>Bulldozers (Track Type)</t>
  </si>
  <si>
    <t>Tractors</t>
  </si>
  <si>
    <t>lbs/hr</t>
  </si>
  <si>
    <t>lb/10^3 gallons</t>
  </si>
  <si>
    <t>AP42 Table II 7;.1, 7.2 (1995)</t>
  </si>
  <si>
    <t>10^3 Gallons/year</t>
  </si>
  <si>
    <t>Interstate Brick Company</t>
  </si>
  <si>
    <t>Brick Manufacturing Plant</t>
  </si>
  <si>
    <t>Wet Scrubber - High Efficiency 95-99%</t>
  </si>
  <si>
    <t>Wet Scrubber - Low Efficiency &lt; 80%</t>
  </si>
  <si>
    <t>Tunnel Kiln #3</t>
  </si>
  <si>
    <t>Clay</t>
  </si>
  <si>
    <t>Tunnel Kiln #4</t>
  </si>
  <si>
    <t>Line 4 Shape Dryer</t>
  </si>
  <si>
    <t>AP-42 1.4-1</t>
  </si>
  <si>
    <t>Tile Plant Dryer</t>
  </si>
  <si>
    <t>Sox</t>
  </si>
  <si>
    <t>AP42 Vol. II Table II-7.1</t>
  </si>
  <si>
    <t>1000 cu ft/yr</t>
  </si>
  <si>
    <t>1000cu ft/yr</t>
  </si>
  <si>
    <t>Total</t>
  </si>
  <si>
    <t>***1299</t>
  </si>
  <si>
    <t>SME011</t>
  </si>
  <si>
    <t>Copper smelting</t>
  </si>
  <si>
    <t>Copper concentrate</t>
  </si>
  <si>
    <t>REF002a/REF003a</t>
  </si>
  <si>
    <t>Boilers (2)</t>
  </si>
  <si>
    <t>Natural gas</t>
  </si>
  <si>
    <t>REF002b/REF003b</t>
  </si>
  <si>
    <t>REF006</t>
  </si>
  <si>
    <t>Sodium based scrubber</t>
  </si>
  <si>
    <t>SME016</t>
  </si>
  <si>
    <t>Space heaters</t>
  </si>
  <si>
    <t>SMEWH</t>
  </si>
  <si>
    <t>Water heaters</t>
  </si>
  <si>
    <t>SMEgen1</t>
  </si>
  <si>
    <t>Emergency backup power gen</t>
  </si>
  <si>
    <t>SMEgen2</t>
  </si>
  <si>
    <t>SMEa1p</t>
  </si>
  <si>
    <t>REFi210</t>
  </si>
  <si>
    <t>PM emergency generator</t>
  </si>
  <si>
    <t>SMEF</t>
  </si>
  <si>
    <t>SME025(WH)</t>
  </si>
  <si>
    <t>Water Heater</t>
  </si>
  <si>
    <t>Tons/year</t>
  </si>
  <si>
    <t>Tons/hour</t>
  </si>
  <si>
    <t>Hr/year</t>
  </si>
  <si>
    <t>Thruput Generating Emissions</t>
  </si>
  <si>
    <t>*</t>
  </si>
  <si>
    <t>lbs/1000 gals</t>
  </si>
  <si>
    <t>gals/year</t>
  </si>
  <si>
    <t>*Differences between the NEI and this spreadsheet are due to rounding.</t>
  </si>
  <si>
    <t>lbs/million cu. Ft.</t>
  </si>
  <si>
    <t>hours/year</t>
  </si>
  <si>
    <t>ESP</t>
  </si>
  <si>
    <t>Wet Scrubber</t>
  </si>
  <si>
    <t>gal/year</t>
  </si>
  <si>
    <t>lbs/1000 gal.</t>
  </si>
  <si>
    <t>Sodium Based Scrubber</t>
  </si>
  <si>
    <t>lbs/hour</t>
  </si>
  <si>
    <t>kg/kw-hr</t>
  </si>
  <si>
    <t>kW</t>
  </si>
  <si>
    <t>EF*hours/year*KW/hour*conversion factor (.0011023)</t>
  </si>
  <si>
    <t>kg/kW-hr</t>
  </si>
  <si>
    <t>lbs/1000 hp-hr</t>
  </si>
  <si>
    <t>hp</t>
  </si>
  <si>
    <t>EF*hours/year*kW/hour*2.1 lbs/1000 kW / 2000 lbs/ton</t>
  </si>
  <si>
    <t>EF-estimate from smelter NOI (Max 24-hr avg)</t>
  </si>
  <si>
    <t>N. Concentrator/Power Plant/Lab/Tailings Pond</t>
  </si>
  <si>
    <t>UPP001</t>
  </si>
  <si>
    <t>Boiler #1</t>
  </si>
  <si>
    <t>UPP101</t>
  </si>
  <si>
    <t>boiler #1</t>
  </si>
  <si>
    <t>UPP002</t>
  </si>
  <si>
    <t>UPP003</t>
  </si>
  <si>
    <t>Boiler #3</t>
  </si>
  <si>
    <t>UPP004</t>
  </si>
  <si>
    <t>Boiler #4</t>
  </si>
  <si>
    <t>UPP102</t>
  </si>
  <si>
    <t>Boiler #2</t>
  </si>
  <si>
    <t>UPP103</t>
  </si>
  <si>
    <t>UPP104</t>
  </si>
  <si>
    <t>boiler #4</t>
  </si>
  <si>
    <t>NOCi 204</t>
  </si>
  <si>
    <t>NG Steam Boiler</t>
  </si>
  <si>
    <t>NOCi205</t>
  </si>
  <si>
    <t>NOC022</t>
  </si>
  <si>
    <t>Boiler Baghouse</t>
  </si>
  <si>
    <t>Phillips Refinery</t>
  </si>
  <si>
    <t>Hunter Power Plant</t>
  </si>
  <si>
    <t>Huntington Power Plant</t>
  </si>
  <si>
    <t>Lisbon Plant-Hook &amp; Ladder</t>
  </si>
  <si>
    <t>Sunnyside Cogeneration Facility</t>
  </si>
  <si>
    <t>Heating Plant - Primary Source</t>
  </si>
  <si>
    <t>Low-sulfur Coal</t>
  </si>
  <si>
    <t xml:space="preserve">   2 lb SO2/lb Sulfur</t>
  </si>
  <si>
    <t>EF=.97 X 2 or 1.94</t>
  </si>
  <si>
    <t>**lbs sulfur/year</t>
  </si>
  <si>
    <t>lbs SO2/lb of Sulfur</t>
  </si>
  <si>
    <t>mmcf/yr</t>
  </si>
  <si>
    <t>lb/mmcf</t>
  </si>
  <si>
    <t>Btu/cft</t>
  </si>
  <si>
    <t>mmBtu/hr</t>
  </si>
  <si>
    <t>Btu/lb</t>
  </si>
  <si>
    <t>** lbs of sulfur from Sources monthly records</t>
  </si>
  <si>
    <t>* .97 of sulfur in coal emitted as SO2 (AP-42 Table 1.101, footnote c)</t>
  </si>
  <si>
    <t>#</t>
  </si>
  <si>
    <t>#mmcf/hr  x  hours/year / btu/cuft = mmcuft/year</t>
  </si>
  <si>
    <t>Phillips 66 Company</t>
  </si>
  <si>
    <t>51-4</t>
  </si>
  <si>
    <t>boiler</t>
  </si>
  <si>
    <t>Mixed Fuel</t>
  </si>
  <si>
    <t>51-5</t>
  </si>
  <si>
    <t>51-6</t>
  </si>
  <si>
    <t>51-7</t>
  </si>
  <si>
    <t>34" stack/combustion</t>
  </si>
  <si>
    <t>09-1</t>
  </si>
  <si>
    <t>furnace</t>
  </si>
  <si>
    <t>07-1</t>
  </si>
  <si>
    <t>09-2</t>
  </si>
  <si>
    <t>10-2</t>
  </si>
  <si>
    <t>17-1</t>
  </si>
  <si>
    <t>incinerator</t>
  </si>
  <si>
    <t>CEM Data</t>
  </si>
  <si>
    <t>04-3</t>
  </si>
  <si>
    <t>Catalytic Cracking Circulation</t>
  </si>
  <si>
    <t>11-1</t>
  </si>
  <si>
    <t>13-1</t>
  </si>
  <si>
    <t>45-3</t>
  </si>
  <si>
    <t>heater</t>
  </si>
  <si>
    <t>45-4</t>
  </si>
  <si>
    <t>04-1</t>
  </si>
  <si>
    <t>06-2</t>
  </si>
  <si>
    <t>06-3</t>
  </si>
  <si>
    <t>08-1</t>
  </si>
  <si>
    <t>12-1</t>
  </si>
  <si>
    <t>45-1</t>
  </si>
  <si>
    <t>45-2</t>
  </si>
  <si>
    <t>06-1</t>
  </si>
  <si>
    <t>66-1</t>
  </si>
  <si>
    <t>66-2</t>
  </si>
  <si>
    <t>68-1</t>
  </si>
  <si>
    <t>propane flare</t>
  </si>
  <si>
    <t>07-2</t>
  </si>
  <si>
    <t>1000 cu ft</t>
  </si>
  <si>
    <t>Btu/scf</t>
  </si>
  <si>
    <t>lbs/mm cu ft</t>
  </si>
  <si>
    <t>Unspecified</t>
  </si>
  <si>
    <t>mm cu ft</t>
  </si>
  <si>
    <t>**</t>
  </si>
  <si>
    <t>1996 Stack tests</t>
  </si>
  <si>
    <t>Emissions = (EF x hours/year) + breakdown emissions</t>
  </si>
  <si>
    <t>FCC operation</t>
  </si>
  <si>
    <t>tons/day</t>
  </si>
  <si>
    <t>AP42</t>
  </si>
  <si>
    <t>Crude Charge</t>
  </si>
  <si>
    <t>flare 46% of total</t>
  </si>
  <si>
    <t>flare 54% of total</t>
  </si>
  <si>
    <t># Flares</t>
  </si>
  <si>
    <t xml:space="preserve"> North Flare was used 54% of time to control 8103831 bbl of crude</t>
  </si>
  <si>
    <t xml:space="preserve"> South Flare was used 46% of time to control 8103831 bbl of crude</t>
  </si>
  <si>
    <t>Propane does not contain sulfur</t>
  </si>
  <si>
    <t>BBLs</t>
  </si>
  <si>
    <t xml:space="preserve"> Emissions = (EF x bbl of crude x % of use /2000 lbs/ton) + breakdown emissions</t>
  </si>
  <si>
    <t>Sunnyside Cogeneration Associates</t>
  </si>
  <si>
    <t>01.0</t>
  </si>
  <si>
    <t>CFBC BOILER/TURBINE</t>
  </si>
  <si>
    <t>01.0A</t>
  </si>
  <si>
    <t>02.0</t>
  </si>
  <si>
    <t>DIESEL GENERATOR</t>
  </si>
  <si>
    <t>Processed Coal</t>
  </si>
  <si>
    <t>tons/hour</t>
  </si>
  <si>
    <t>Gals/year</t>
  </si>
  <si>
    <t>gal/hour</t>
  </si>
  <si>
    <t>FBC w/Limestone Additive</t>
  </si>
  <si>
    <t>lb/mmbtu</t>
  </si>
  <si>
    <t>lb/1000 gal</t>
  </si>
  <si>
    <t>AP-42 Section 1.3</t>
  </si>
  <si>
    <t>AP-42 Section 3.3</t>
  </si>
  <si>
    <t xml:space="preserve">EF = 157 x .85 lb/1000 gal </t>
  </si>
  <si>
    <t xml:space="preserve">      = 133.45</t>
  </si>
  <si>
    <t>1000 gal/year</t>
  </si>
  <si>
    <t>(per AP-42 1.3-1)</t>
  </si>
  <si>
    <t>*11097</t>
  </si>
  <si>
    <t>5,900,000 btu/BBL</t>
  </si>
  <si>
    <t>(per AP-42 appendix A-4, A-6, and 3.3-6)</t>
  </si>
  <si>
    <t>0.29 lbs/mmBTUs</t>
  </si>
  <si>
    <t>Utah State University</t>
  </si>
  <si>
    <t>1</t>
  </si>
  <si>
    <t>Steam Production for Heating</t>
  </si>
  <si>
    <t>Animal Cremator</t>
  </si>
  <si>
    <t>mmbtu/yr</t>
  </si>
  <si>
    <t>Ash Reinjection</t>
  </si>
  <si>
    <t>Secondary Combustion</t>
  </si>
  <si>
    <t>Multiple Cyclone</t>
  </si>
  <si>
    <t>N/a</t>
  </si>
  <si>
    <t>Tons/yr</t>
  </si>
  <si>
    <t>Oil</t>
  </si>
  <si>
    <t>Gal/yr</t>
  </si>
  <si>
    <t>mmbtu/hr</t>
  </si>
  <si>
    <t>lb/ton</t>
  </si>
  <si>
    <t>* 13894 &amp; 13896</t>
  </si>
  <si>
    <t>(Oil)</t>
  </si>
  <si>
    <t>(Natural Gas)</t>
  </si>
  <si>
    <t>0.6 lbs/mmcf x .558 mmcf/year / 2000 lbs/ton = 0.0002</t>
  </si>
  <si>
    <t xml:space="preserve">PacifiCorp                              </t>
  </si>
  <si>
    <t>Carbon Power Plant</t>
  </si>
  <si>
    <t>Dry bottom tangentially fired utility boiler</t>
  </si>
  <si>
    <t>CEMS</t>
  </si>
  <si>
    <t>Table 1.3-2-page 1.3-4</t>
  </si>
  <si>
    <t>1.3-2</t>
  </si>
  <si>
    <t>67</t>
  </si>
  <si>
    <t>Emergency diesel generator</t>
  </si>
  <si>
    <t>Table 3.3-2 pg. 3.3</t>
  </si>
  <si>
    <t>13</t>
  </si>
  <si>
    <t>Emergency diesel fire pump</t>
  </si>
  <si>
    <t>AP-42 Table 3.3-2, pg 3.3</t>
  </si>
  <si>
    <t>lbs/mmbtu</t>
  </si>
  <si>
    <t>*Formula(s) for calculating emissions</t>
  </si>
  <si>
    <t>Btu/gal</t>
  </si>
  <si>
    <t>lb/1000 gals</t>
  </si>
  <si>
    <t>hp-hr</t>
  </si>
  <si>
    <t>lb/hp-hr</t>
  </si>
  <si>
    <t>dry bottom tangentially fired utility boiler</t>
  </si>
  <si>
    <t>DAQ suggested factor</t>
  </si>
  <si>
    <t>15</t>
  </si>
  <si>
    <t>Auxiliary Steam Boiler for Unit #1</t>
  </si>
  <si>
    <t>Distillate Fuel Oil</t>
  </si>
  <si>
    <t>16</t>
  </si>
  <si>
    <t>Auxiliary Steam Boiler for Unit #2</t>
  </si>
  <si>
    <t>Emergency generator diesel engine for Unit #1</t>
  </si>
  <si>
    <t>Table 3.3-2</t>
  </si>
  <si>
    <t>Emergency generator diesel engine for Unit #2</t>
  </si>
  <si>
    <t>14</t>
  </si>
  <si>
    <t>Emergency fire pump diesel engine</t>
  </si>
  <si>
    <t>tons/year</t>
  </si>
  <si>
    <t>btu/pound</t>
  </si>
  <si>
    <t>off-hwy trucks (2)</t>
  </si>
  <si>
    <t xml:space="preserve">lbs/hour </t>
  </si>
  <si>
    <t>gals/hour</t>
  </si>
  <si>
    <t>AP-42 Table 1.3-4</t>
  </si>
  <si>
    <t>utility boiler (coal fueled)</t>
  </si>
  <si>
    <t>utility boiler (oil fueled)</t>
  </si>
  <si>
    <t>DAQ suggested</t>
  </si>
  <si>
    <t>Auxiliary steam boiler for Unit #1</t>
  </si>
  <si>
    <t>Emergency diesel generator for Unit #1</t>
  </si>
  <si>
    <t>AP-42 Table 3.3-2</t>
  </si>
  <si>
    <t>Emergency diesel generator for Unit #2</t>
  </si>
  <si>
    <t>17</t>
  </si>
  <si>
    <t>Emergency diesel generator for Unit #3</t>
  </si>
  <si>
    <t>19</t>
  </si>
  <si>
    <t>Emergency diesel fire pump #2</t>
  </si>
  <si>
    <t>Tom Brown Incorporated</t>
  </si>
  <si>
    <t>4.1</t>
  </si>
  <si>
    <t>Flares</t>
  </si>
  <si>
    <t>4.2</t>
  </si>
  <si>
    <t>Incinerator</t>
  </si>
  <si>
    <t>ton/hour</t>
  </si>
  <si>
    <t>Gas scrubber</t>
  </si>
  <si>
    <t>AP-42 Table 1.3-2</t>
  </si>
  <si>
    <t>13704 and 13705</t>
  </si>
  <si>
    <t>gal/yr</t>
  </si>
  <si>
    <t>lbs/1000 gal</t>
  </si>
  <si>
    <t>EF in lbs/1000 gals x (gals/year /1000 gals)/2000 lbs/ton</t>
  </si>
  <si>
    <t>Baghouse</t>
  </si>
  <si>
    <t>Water Truck</t>
  </si>
  <si>
    <t>982, 1030, 1197, 1198, 1199, 9664, 9665, 9666,  11726, 11727, nand 11728</t>
  </si>
  <si>
    <t>(was Continental Lime)</t>
  </si>
  <si>
    <t>Convert H2S to Sox</t>
  </si>
  <si>
    <t>Tons of Sox/ylr = k(MCF/yr x mole % H2S x 168.9 lbs Sox/2000</t>
  </si>
  <si>
    <t>Average gas chromatograph H2S for inlet sulfur plant gas stream = 4.08%</t>
  </si>
  <si>
    <t xml:space="preserve">                        DIFFERENCE </t>
  </si>
  <si>
    <t>Mass balance</t>
  </si>
  <si>
    <t>More detailed data available UDAQ</t>
  </si>
  <si>
    <t>Sulfur recovery unit</t>
  </si>
  <si>
    <t>btu/scf</t>
  </si>
  <si>
    <t>*lb/ton</t>
  </si>
  <si>
    <t>Pounds/mmscf</t>
  </si>
  <si>
    <t>* Formulas</t>
  </si>
  <si>
    <t xml:space="preserve">EF 0.182 lb/hour x 3120 hrs/yr / 2000 lbs/ton = 0.28 </t>
  </si>
  <si>
    <t>EF 0.6 lbs/mmscf x 9984 1000 scf.yr / 2000 lbs/ton = .002</t>
  </si>
  <si>
    <t>lb/hr</t>
  </si>
  <si>
    <t xml:space="preserve">Unspecified </t>
  </si>
  <si>
    <t xml:space="preserve">
Name of
Secondary Control</t>
  </si>
  <si>
    <t xml:space="preserve">
% Emissions from Breakdown</t>
  </si>
  <si>
    <t xml:space="preserve">
Pt Source
ID</t>
  </si>
  <si>
    <t>1000 gal/yr</t>
  </si>
  <si>
    <t>Hrs/yr</t>
  </si>
  <si>
    <t>lb/gal</t>
  </si>
  <si>
    <t>Sox EF propane = 0.10(S)lb/1000 gal</t>
  </si>
  <si>
    <t>S = grains S/1000 of propane gas</t>
  </si>
  <si>
    <t xml:space="preserve"> </t>
  </si>
  <si>
    <t>Phillips 66 data</t>
  </si>
  <si>
    <t>S = 123 ppm</t>
  </si>
  <si>
    <r>
      <t>S  = (123/1000000) x 0.1196 lb/ft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x (7000 grains/lb)</t>
    </r>
  </si>
  <si>
    <r>
      <t>S = 10.3 grains/1000 ft</t>
    </r>
    <r>
      <rPr>
        <vertAlign val="superscript"/>
        <sz val="10"/>
        <rFont val="Arial"/>
        <family val="2"/>
      </rPr>
      <t>3</t>
    </r>
  </si>
  <si>
    <t>mmscf/yr</t>
  </si>
  <si>
    <t>mbbls/yr</t>
  </si>
  <si>
    <t>btu/cf</t>
  </si>
  <si>
    <t>btu/bbl</t>
  </si>
  <si>
    <t>AP-42 5th Edition, Table 5.1-1, 01/95, each flare is based on 1/3 of crude unit throughput</t>
  </si>
  <si>
    <t>10^3 Gals/yr</t>
  </si>
  <si>
    <t>Lb/10^3 gals</t>
  </si>
  <si>
    <t>Lbs/hr</t>
  </si>
  <si>
    <t>lb/10^3 bbl</t>
  </si>
  <si>
    <t>hrs/year</t>
  </si>
  <si>
    <t>tons hot metal/year</t>
  </si>
  <si>
    <t>lb/10^3 gal</t>
  </si>
  <si>
    <t>lb/10^6 cu ft</t>
  </si>
  <si>
    <t>lbs/mmbtu heat input</t>
  </si>
  <si>
    <t>mmbtu/ton</t>
  </si>
  <si>
    <t>1,000 btu/gal</t>
  </si>
  <si>
    <t>lb/ton hot metal</t>
  </si>
  <si>
    <t>Name of
Secondary Control</t>
  </si>
  <si>
    <t>Name of
Primary Control</t>
  </si>
  <si>
    <t xml:space="preserve">
Name of
Primary Control</t>
  </si>
  <si>
    <t>hr/yr</t>
  </si>
  <si>
    <t xml:space="preserve">1 MSCF H2S x (Mole HxS/0.3793 MSCF HxS) x 1 mole SO2/1 mole H2S x 64.0628 lb Sox/1 Mole SO2= 168.897 lbs. </t>
  </si>
  <si>
    <t>1998 Statewide SOx Sources</t>
  </si>
  <si>
    <t>mol % H2S in gas.  Scf figured using emissions.</t>
  </si>
  <si>
    <t>mol % H2S in gas + 0.03 tons Amine.  Scf figured using emissions.</t>
  </si>
  <si>
    <t>average CEM reading + shutdown and upsets (66.26)</t>
  </si>
  <si>
    <t xml:space="preserve">mol % H2S in gas.  </t>
  </si>
  <si>
    <t>scf/hr</t>
  </si>
  <si>
    <t xml:space="preserve">mol % H2S in gas. </t>
  </si>
  <si>
    <t xml:space="preserve">mol % H2S in fuel gas.  </t>
  </si>
  <si>
    <t>1235, and 1236 plant gas useage was calculated using the sources emission estimate.</t>
  </si>
  <si>
    <t>HTHW gen #4</t>
  </si>
  <si>
    <t>Small Gas Boiler</t>
  </si>
  <si>
    <t>HTHW gen #6</t>
  </si>
  <si>
    <t>gals/yr</t>
  </si>
  <si>
    <t>EF x tons coal /2000</t>
  </si>
  <si>
    <t>gallons per year x heating value = btu</t>
  </si>
  <si>
    <t>(btu/1000000 = mmbtu/yr.  EF in lbs/mmbtu</t>
  </si>
  <si>
    <t>EF x mmbtu/yr / 2000 lbs/ton</t>
  </si>
  <si>
    <t>(gals/yr / 1000) x EF / 2000 lbs/ton</t>
  </si>
  <si>
    <t>Method changed from % sulfur to AP42 EF.</t>
  </si>
  <si>
    <t>Method changed from EF for btu to EF for gals.</t>
  </si>
  <si>
    <t>This source now uses natural gas equipment in addition to the diesel and coal generators.</t>
  </si>
  <si>
    <t>The % of H2S in plant gas increased.  This increased the EF from 7.8 to 8.5 lbs/mmscf.</t>
  </si>
  <si>
    <t xml:space="preserve">The EF calculated from the average CEM records changed from 33.8 lbs/hour to 60.1 lbs/hour for the SRU and 119.9 to 132.8 </t>
  </si>
  <si>
    <t xml:space="preserve">   for the FCU/CO boiler.</t>
  </si>
  <si>
    <t>Front end loader (4)</t>
  </si>
  <si>
    <t>Emergency generator</t>
  </si>
  <si>
    <t>lbsa/gal</t>
  </si>
  <si>
    <t>1998 Statewide Sox Sources</t>
  </si>
  <si>
    <t>Stationary Engines</t>
  </si>
  <si>
    <t>bbl/yr</t>
  </si>
  <si>
    <t>Table 3.3-1</t>
  </si>
  <si>
    <t>Misc-7</t>
  </si>
  <si>
    <t>The 1998 inventory has stationary engines that were not included in the 1996 inventory.  Other changes occurred in throughput.</t>
  </si>
  <si>
    <t>Differences between 1996 and 1998 SOx emissions.</t>
  </si>
  <si>
    <t>Differences between 1996 and 1998.</t>
  </si>
  <si>
    <t>49b</t>
  </si>
  <si>
    <t>Fuel lime K2</t>
  </si>
  <si>
    <t>50b</t>
  </si>
  <si>
    <t>52b</t>
  </si>
  <si>
    <t>Fuel for K4</t>
  </si>
  <si>
    <t>Diesel included</t>
  </si>
  <si>
    <t>51b</t>
  </si>
  <si>
    <t>AP-42, Table 1.52</t>
  </si>
  <si>
    <t>Agreed to per 1990 PM10 SIP EF = ((7.1 ppm)*32*2)/379</t>
  </si>
  <si>
    <t>157*(.8028%)</t>
  </si>
  <si>
    <t>AP-42 5th Edition, Table 1.3-1 (9/98)  EF = 157 X (.8028%)</t>
  </si>
  <si>
    <t>Agreed to per 1990 PM10 SIP  EF = ((7.1 ppm*32*2)/379</t>
  </si>
  <si>
    <t>AP-42 5th Edition, Table 1.3-1, 9/98  EF = 157 x .8028%</t>
  </si>
  <si>
    <t>AP-42 5th Edition, Table 1.3-1, 9/98  EF = 157 x .10%</t>
  </si>
  <si>
    <t>lbs/mgals</t>
  </si>
  <si>
    <t>mgal/yr</t>
  </si>
  <si>
    <t xml:space="preserve">   Fuel gas % of Sox went from .00138 to .00071.</t>
  </si>
  <si>
    <t xml:space="preserve">  Calculation methods remained the same.</t>
  </si>
  <si>
    <t>Blast</t>
  </si>
  <si>
    <t>6a</t>
  </si>
  <si>
    <t>Limestone</t>
  </si>
  <si>
    <t>lbs/ton</t>
  </si>
  <si>
    <t>AP-42 Table 13.3-1</t>
  </si>
  <si>
    <t>*tons/yr</t>
  </si>
  <si>
    <t>*Estimate of tons calculated from estimate of emissions.  .23 x 2000 / 2 = 230 tons</t>
  </si>
  <si>
    <t>**1306</t>
  </si>
  <si>
    <t>**1307</t>
  </si>
  <si>
    <t>**1308</t>
  </si>
  <si>
    <t>This source is operating an additional Kiln (4) not operated in 1996.</t>
  </si>
  <si>
    <t>52c</t>
  </si>
  <si>
    <t>**These three 1996 component numbers are duplicates of 3905, 11732, and 11730</t>
  </si>
  <si>
    <t>bhp</t>
  </si>
  <si>
    <t xml:space="preserve">Plant gas and natural gas are combined </t>
  </si>
  <si>
    <t>10, 3</t>
  </si>
  <si>
    <t>Method on 1299 changed from AP-42 to Source test</t>
  </si>
  <si>
    <t>10, 5</t>
  </si>
  <si>
    <t>5, 10</t>
  </si>
  <si>
    <t>H2S</t>
  </si>
  <si>
    <t xml:space="preserve">                                                                                                                                                    </t>
  </si>
  <si>
    <t>Compressors were converted to electric between 1996 and 1998</t>
  </si>
  <si>
    <t>FCC was replaced with TCC 1999 AO</t>
  </si>
  <si>
    <t>EF for 13776 and 13777 changed from 61.23 to 62.02 from 1996 to 1998</t>
  </si>
  <si>
    <t>F12</t>
  </si>
  <si>
    <t>HB-Loader</t>
  </si>
  <si>
    <t>FG10</t>
  </si>
  <si>
    <t>FG18</t>
  </si>
  <si>
    <t>Back up generator-Power House</t>
  </si>
  <si>
    <t>FG11</t>
  </si>
  <si>
    <t>FG12</t>
  </si>
  <si>
    <t>Back up generator- Q-BOP</t>
  </si>
  <si>
    <t>Back up Gen. Caster</t>
  </si>
  <si>
    <t>gal/hr</t>
  </si>
  <si>
    <t>FG20</t>
  </si>
  <si>
    <t>HB Product Screen</t>
  </si>
  <si>
    <t>FG19</t>
  </si>
  <si>
    <t>HB revert Screen</t>
  </si>
  <si>
    <t>lb/hp-hb</t>
  </si>
  <si>
    <t>kgal/year</t>
  </si>
  <si>
    <t>EF for 4221 changed from 377.58 in 1996 to 260.92 in 1998 due to change in the amount of coal used per hour.</t>
  </si>
  <si>
    <t>AP42 Vol II Table II-7.1</t>
  </si>
  <si>
    <t>AP42 Table 3.3-2</t>
  </si>
  <si>
    <t xml:space="preserve">   back up generator caster, HB product screen and HB revert screen.</t>
  </si>
  <si>
    <t xml:space="preserve">New equipment included in 1998:  HB-Loader, Back up generator-power house, back up generator- Q-BOP, </t>
  </si>
  <si>
    <t>Emmission factor changed for 1034 from 31.10 lbs/1000 gals to .46 lbs/hour</t>
  </si>
  <si>
    <t>Shovel</t>
  </si>
  <si>
    <t>421-BF1</t>
  </si>
  <si>
    <t>Kiln Fuel</t>
  </si>
  <si>
    <t xml:space="preserve">Stack test </t>
  </si>
  <si>
    <t>New component 18 replaced 20</t>
  </si>
  <si>
    <t>Sox emissions from Kiln shown in component 17342</t>
  </si>
  <si>
    <t>New component 21425 and 17342  Components 1322 and 1323 eliminated by source.</t>
  </si>
  <si>
    <t>1998 Statewide SOx Source</t>
  </si>
  <si>
    <t>Stack Test</t>
  </si>
  <si>
    <t xml:space="preserve">                                                </t>
  </si>
  <si>
    <t>EF 0.006 lb/ton x 67363 tons/yr. / 2000 lbs/ton = 0.2.  This EF was changed during QC to match stack test.</t>
  </si>
  <si>
    <t>EF 1.19 lbs/ ton x 119850 tons/year / 2000 lbs/ton = 71.31.  This EF was changed during QC to match stack test.</t>
  </si>
  <si>
    <t>EF 0.6 lbs/mmscf x 10401 1000 scf.yr / 2000 lbs/ton = .003</t>
  </si>
  <si>
    <t>From Natural gas</t>
  </si>
  <si>
    <t>10,.5</t>
  </si>
  <si>
    <t>SRU Incinerator-Plant gas</t>
  </si>
  <si>
    <t>SRU Incinerator - fuel to run incinerator</t>
  </si>
  <si>
    <t>Sox EF = ((Ave H2S ppm)/10^6) * (64 lb SO2/ lb mole) / (10^6 scf/mmscf) / (379 scf/ lb mole)) Fuel gas ave H2S ppm =69</t>
  </si>
  <si>
    <t>mbbls</t>
  </si>
  <si>
    <t>Stack Test EF x # of BBLs x ratio of H2S in stack test to 1998 H2S</t>
  </si>
  <si>
    <t>Changes between 1996 and 1998</t>
  </si>
  <si>
    <t>SME008</t>
  </si>
  <si>
    <t>Acid Plant Preheater</t>
  </si>
  <si>
    <t>CEM.  Includes emissions from multiple sources</t>
  </si>
  <si>
    <t>SME026</t>
  </si>
  <si>
    <t>Holman Boiler</t>
  </si>
  <si>
    <t>EF changed for component 13994 from 28.4 lbs/10^3 gals to 7.1 lbs/10^3 gals.  AP-42 used in both 1996 and 1998.</t>
  </si>
  <si>
    <t>Component 13968 and 13983 were removed from the 1998 inventory.  Inventory indicates 13983 was removed from service.</t>
  </si>
  <si>
    <t>SMEAF</t>
  </si>
  <si>
    <t>Anode Furnace Scrubber breakdowns</t>
  </si>
  <si>
    <t>Blister Copper</t>
  </si>
  <si>
    <t>Rough Estimate</t>
  </si>
  <si>
    <t>SMEAP</t>
  </si>
  <si>
    <t>Smelting Process Gas</t>
  </si>
  <si>
    <t>Acid Plant Super Heater leak/breakdown</t>
  </si>
  <si>
    <t>Smelter fugitives</t>
  </si>
  <si>
    <t>Changes from 1996 to 1998</t>
  </si>
  <si>
    <t>New equipment includes 21056, 13970, 18017, and 21062</t>
  </si>
  <si>
    <t xml:space="preserve">wt % S = .34 or 3400 wppm. </t>
  </si>
  <si>
    <t>Out of service in 1998</t>
  </si>
  <si>
    <t>Sox from engines in 1998 was minimal.</t>
  </si>
  <si>
    <t>1998 SOx Sources</t>
  </si>
  <si>
    <t>51-8</t>
  </si>
  <si>
    <t>4-1</t>
  </si>
  <si>
    <t>Thermal catalystic Cracking</t>
  </si>
  <si>
    <t>Gas Oil</t>
  </si>
  <si>
    <t>mm bbls/yr</t>
  </si>
  <si>
    <t>bbls/hr</t>
  </si>
  <si>
    <t>Component 51-8 is a new boiler</t>
  </si>
  <si>
    <t>Stack test</t>
  </si>
  <si>
    <t>Component 51-7 was not used in 1998.</t>
  </si>
  <si>
    <t>Component 8-1</t>
  </si>
  <si>
    <t>**Mixed Fuel</t>
  </si>
  <si>
    <t>*** EF for plant gas calculated using (lb Sox/mmscf gas) = (avg ppm H2S/1000000) x (64 lb SO2/lb mole) x (1000000 scf/mmscf)</t>
  </si>
  <si>
    <t xml:space="preserve">   /(379 scf/lb mole)</t>
  </si>
  <si>
    <t xml:space="preserve">   EF = 2.393 lbs of Sox/mmscf of plant gas</t>
  </si>
  <si>
    <t>TCC was replaced before 1998.</t>
  </si>
  <si>
    <t>Differences between this spreadsheet and the database printout are due to rounding.</t>
  </si>
  <si>
    <t>.</t>
  </si>
  <si>
    <t>E=435091 tons of coal/year  x 5303 Btu/lb x (1 mmbtu/1000000 Btu) x .41 lb Sox/mmbtu) = 945.99 ton/yr Sox</t>
  </si>
  <si>
    <t>120 gal/year)/42 gal/BBL =2.86 BBLs/year</t>
  </si>
  <si>
    <t>5,900,000 btu/BBL x 2.86 BBL = 16.874  mmBTUs</t>
  </si>
  <si>
    <t>16.874 mmBTUs x .29 lbs/mmBTUs / 2000 lbs/ton = .00245 tons</t>
  </si>
  <si>
    <t>BTU/lb of coal changed from 6458 in 1996 to 5303 in 1998.</t>
  </si>
  <si>
    <t>Used Oil Space Heater</t>
  </si>
  <si>
    <t>Used Oil</t>
  </si>
  <si>
    <t>AP-42</t>
  </si>
  <si>
    <t>**1</t>
  </si>
  <si>
    <t>Jet Engine Test</t>
  </si>
  <si>
    <t>Provided by Hill Air Force Base</t>
  </si>
  <si>
    <t>***0.64</t>
  </si>
  <si>
    <t>Emergency Gen.</t>
  </si>
  <si>
    <t>Satellite Boiler</t>
  </si>
  <si>
    <t>38 x .6</t>
  </si>
  <si>
    <t>162.7 x .26</t>
  </si>
  <si>
    <t>Ran 132 hours x 4.6mmbtu/hr =607.2 mmbtu</t>
  </si>
  <si>
    <t>1.01 x .26</t>
  </si>
  <si>
    <t>17237 Hill Air Force base multiplier same for jet fuel, gasoline fuel, and diesel.</t>
  </si>
  <si>
    <t>(Gals/42 gals/bbl) x 5.9 x 10^6 btu/bbl / 1000000 btu/mmbtu</t>
  </si>
  <si>
    <t>17235 and 17231mmbtu used during year calculated with the following equation:</t>
  </si>
  <si>
    <t>Two new generators, natural gas satillite boiler, used oil heater, and jet engine testing added to inventory</t>
  </si>
  <si>
    <t>0.6 lbs/mmcf x 119.27 mmcf/year / 2000 lbs/ton = 0.036</t>
  </si>
  <si>
    <t>38S lbs/ton of coal x 5390 tons of coal / 2000 = 61.45  (S = .6)</t>
  </si>
  <si>
    <t>162.7S lbs/1000 gals of oil x3550 gallons oil / 1000  / 2000 =  0.075 (S=.26)</t>
  </si>
  <si>
    <t>13898 and 13908</t>
  </si>
  <si>
    <t>0.6 lbs/mmcf x .607 mmcf/yr / 2000 = 0</t>
  </si>
  <si>
    <t>17238 (used oil)</t>
  </si>
  <si>
    <t>.157S lbs/gal x 880 gals/year /2000 = 0.069 (S = 1)</t>
  </si>
  <si>
    <t>.001 lbs/gal x 152.4 / 2000 = 0</t>
  </si>
  <si>
    <t>1.01S x 56.19048 /2000 = .007 (S = .26)</t>
  </si>
  <si>
    <t>1.01S x 66.02 /2000 = 0.009 (S = .26)</t>
  </si>
  <si>
    <t>Sulfur % in coal changed from .49 in 1996 to .6 in 1998</t>
  </si>
  <si>
    <t>Sulfur % in heating oil changed fromm .24 in 1996 to .26 in 1998</t>
  </si>
  <si>
    <t xml:space="preserve">.6 x 77 mmscf / 2000 = .023 </t>
  </si>
  <si>
    <t>Animals burned</t>
  </si>
  <si>
    <t>Animals</t>
  </si>
  <si>
    <t>607.2 mmbtu x 1 scf/1000 btu/scf x 0.6 lbs/mmscf/ 2000 lbs/ton = 0</t>
  </si>
  <si>
    <t>2.17 lbs/ton x 5.63 tons/ 2000 = .006</t>
  </si>
  <si>
    <t>Differences between 1996 and 1998</t>
  </si>
  <si>
    <t>The CEM value changed from .621 to .594</t>
  </si>
  <si>
    <t xml:space="preserve">                           </t>
  </si>
  <si>
    <t xml:space="preserve">                                     </t>
  </si>
  <si>
    <t>The heating value of the coal changed from 12101 to 12132.</t>
  </si>
  <si>
    <t>The heating value of diesel #2 changed from 12106 to 12122</t>
  </si>
  <si>
    <t>Sulfur content of coal in 3974 changed from .43 to .46</t>
  </si>
  <si>
    <t>Sulfur content of coal to 3976 changed from .43 to .45</t>
  </si>
  <si>
    <t>Ash content of coal in 3974 changed from 9.18 to 9.82</t>
  </si>
  <si>
    <t>Ash content of coal in 3976 changed from 9.13 to 9.83</t>
  </si>
  <si>
    <t>The CEM value changed from .625 to .596</t>
  </si>
  <si>
    <t>EF for 8910 and 8911 changed from 14 lbs/10^3 gals to 7 lbs/10^3 gals.</t>
  </si>
  <si>
    <t>Sulfur % in 8910 and 8911 changed from .1 to .05</t>
  </si>
  <si>
    <t>Truck emissions doubled because they had 2 trucks emitting for 2080 hours.</t>
  </si>
  <si>
    <t>((0.594 lbs/mmbtu x 234416 tons/year of coal x 2000 lbs/ton x 12132 btu/lb) / 2000 lbs/ton) / 1000000 = 1689.3</t>
  </si>
  <si>
    <t>((0.596 lbs/mmbtu x 365901 tons/year of coal x 2000 lbs/ton x 12122 btu/lb) / 2000 lbs/ton) / 1000000 = 2643.53</t>
  </si>
  <si>
    <t>(7 lbs/1000 gals x 54077 gals/year / 1000 gals)/ 2000 lbs/ton = 0.19</t>
  </si>
  <si>
    <t>(7 lbs/1000 gals x 91350 gals/year / 1000 gals)/ 2000 lbs/ton = 0.32</t>
  </si>
  <si>
    <t>((0.45 Lbs/hour x 2080 hour/year) /2000 lbs/ton) x 2 vehicles = .94 tons</t>
  </si>
  <si>
    <t>(.0021 lb/hp/hr x 50 hr/year x 250 hp)/2000 lbs/ton = .013</t>
  </si>
  <si>
    <t>(.0021 lb/hp/hr x 1030 hr/year x 250 hp)/2000 lbs/ton = 0.27</t>
  </si>
  <si>
    <t>4032 Heating value of coal changed from 11554 to 11291</t>
  </si>
  <si>
    <t>4032 sulfur in coal changed from .42 in 1996 to .43 in 1998</t>
  </si>
  <si>
    <t>4032 ash content changed fromm 11.82 in 1996 to 14.51 in 1998</t>
  </si>
  <si>
    <t>4032 CEM emission factor changed from .127 in 1996 to .137 in 1998</t>
  </si>
  <si>
    <t>4034 EF changed from .629 in 1996 to .679 in 1998</t>
  </si>
  <si>
    <t>4034 Heating value of the coal changed from 11513 in 1996 to 11203 in 1998.</t>
  </si>
  <si>
    <t>4034 sulfur content in coal changed from .41 in 1996 to .43 in 1998</t>
  </si>
  <si>
    <t>4033 sulfur content in coal changed from .1 in 1996 to .05 in 1998.</t>
  </si>
  <si>
    <t>4034 ash content changed from 12.32 in 1996 to 15.01 in 1998</t>
  </si>
  <si>
    <t>4033, 4035, 13720, and 13721 EFs changed from 14 lbs/10^3 gals in 1996 to 7 lbs/10^3 gals in 1998.</t>
  </si>
  <si>
    <t>13730, 13731, and 13732 EF changed from .00205 in 1996 to .0021 in 1998</t>
  </si>
  <si>
    <t>4035, 13720, 13721, 13730 and 13731 sulfur content in diesel changed from .1 in 1996 to .05 in 1998.</t>
  </si>
  <si>
    <t>0.137 lbs/mmcf x 11291 btu/lb x 1434183 tons of coal x 2000 lbs/ton / 1000000 btu /2000 lbs/ton = 2,373.18</t>
  </si>
  <si>
    <t>7 lbs/1000 gals x 173.909 1000 gals/year / 2000 lbs/ton = 0.61</t>
  </si>
  <si>
    <t>0.679 lbs/mmcf x 11203 btu/lb x 1376292 tons of coal x 2000 lbs/ton / 1000000 btu /2000 lbs/ton = 10,469.23</t>
  </si>
  <si>
    <t>7 lbs/1000 gals x 359.615 1000 gals/year / 2000 lbs/ton = 1.26</t>
  </si>
  <si>
    <t>7 lbs/1000 gals x 8.778 1000 gal/year / 2000 lbs/ton = .03</t>
  </si>
  <si>
    <t>7 lbs/1000 gals x 15.6 1000 gal/year / 2000 = .05</t>
  </si>
  <si>
    <t>0.0021 lb/hp-hr x 51 hr/yr x 1155 hp / 2000 lbs/ton = .06</t>
  </si>
  <si>
    <t>0.0021 lb/hp-hr x 46 hr/yr x 1155 hp / 2000 lbs/ton = .06</t>
  </si>
  <si>
    <t>0.0021 lb/hp-hr x 821 hr/yr x 250 hp / 2000 lbs/ton = .22</t>
  </si>
  <si>
    <t>(0.45 lbs/hr x 2080 hours/year / 2000) x 2 vehicles = 0.94</t>
  </si>
  <si>
    <t xml:space="preserve">  </t>
  </si>
  <si>
    <t>4026 heating value of coal changed from 11575 in 1996 to 11832 in 1998</t>
  </si>
  <si>
    <t>4026 Sulfur content of coal changed from 0.51 in 1996 to 0.45 in 1998</t>
  </si>
  <si>
    <t>4026 ash changed from 12 in 1996 to 11.67 in 1998</t>
  </si>
  <si>
    <t>4028 heating value of coal changed from 11464 in 1996 to 11665 in 1998</t>
  </si>
  <si>
    <t>4028 sulfur content of coal changed from 0.51 in 1996 to 0.55 in 1998</t>
  </si>
  <si>
    <t>4028 ash changed from 12.18 in 1996 to 12.11 in 1998</t>
  </si>
  <si>
    <t>4028 CEM EF changed from .16 in 1996 to .140 in 1998</t>
  </si>
  <si>
    <t>4026 CEM EF changed from .16 in 1996 to .136 in 1998</t>
  </si>
  <si>
    <t>4031, 4029 and 4027 Sulfur content of diesel changed from .1 in 1996 to .05 in 1998</t>
  </si>
  <si>
    <t>4029, 4031 and 4027 EF changed from 14 in 1996 to 7 in 1998.</t>
  </si>
  <si>
    <t>4030 sulfur content changed from .5 in 1996 to .46 in 1998</t>
  </si>
  <si>
    <t>4030 ash changed from 12.92 in 1996 to 12.17 in 1998</t>
  </si>
  <si>
    <t>4030 CEM EF changed from .07 in 1996 to .066 in 1998</t>
  </si>
  <si>
    <t>Wasatch Constructors</t>
  </si>
  <si>
    <t>I-15 Corridor Reconstruction</t>
  </si>
  <si>
    <t>Track Tractors</t>
  </si>
  <si>
    <t>25 KW Generators</t>
  </si>
  <si>
    <t>Amida LP</t>
  </si>
  <si>
    <t>Compressors</t>
  </si>
  <si>
    <t>Mobi-light</t>
  </si>
  <si>
    <t>Wheeled tractor</t>
  </si>
  <si>
    <t>Scraper</t>
  </si>
  <si>
    <t>Wheeled loader</t>
  </si>
  <si>
    <t>Track loader</t>
  </si>
  <si>
    <t>Off-highway Truck</t>
  </si>
  <si>
    <t>Roller</t>
  </si>
  <si>
    <t>Miscellaneous</t>
  </si>
  <si>
    <t>Off-highway truck</t>
  </si>
  <si>
    <t>Diesel engines</t>
  </si>
  <si>
    <t>Gasoline Engines</t>
  </si>
  <si>
    <t>Davis County Solid Waste Management</t>
  </si>
  <si>
    <t>Energy Recovery Facility (DCERF)</t>
  </si>
  <si>
    <t>Sweeper</t>
  </si>
  <si>
    <t>mass burn refractory wall combustor</t>
  </si>
  <si>
    <t>Fire Pump</t>
  </si>
  <si>
    <t>hrs/yr</t>
  </si>
  <si>
    <t>hp-hr/yr</t>
  </si>
  <si>
    <t>lbs/hp-hr</t>
  </si>
  <si>
    <t>Emissions =EF lbs/hr x hrs/yr / 2000</t>
  </si>
  <si>
    <t>19164, 19165, 19166, and 19167</t>
  </si>
  <si>
    <t>Emissions = EF lbs/hp-hr X hrs/yr x hp-hr / 2000</t>
  </si>
  <si>
    <t>19922 and 19923</t>
  </si>
  <si>
    <t>Emissions = EF lbs/hp-hr x hp-hr/year /2000</t>
  </si>
  <si>
    <t>18811, 129277, 19278, 19279, 19280, 19281, 19282, 19283, 19284, 19285, 19286, 19287, 19289, 19290, and 19921</t>
  </si>
  <si>
    <t>Solid Waste</t>
  </si>
  <si>
    <t>DSI (trona)</t>
  </si>
  <si>
    <t>This source did not emit 100 tons of Sox in past years.</t>
  </si>
  <si>
    <t>1017, 1018, 1201 and 11776</t>
  </si>
  <si>
    <t>Emissions = EF X hrs/yr / 2000 bls/ton</t>
  </si>
  <si>
    <t xml:space="preserve">3301 and 3725 </t>
  </si>
  <si>
    <t>Emissions calculated by CEM</t>
  </si>
  <si>
    <t>*Sox Fuel oil EF  = 157 S lbs/1000 gals =235.5</t>
  </si>
  <si>
    <t>(EF .066 lbs/mmbtu x (1133561 tons coal x 2000 lb/ton) x (11545 lb/btu/1000000 btu)) / 2000 lbs/ton = 863.74</t>
  </si>
  <si>
    <t>Component 2672 is calculated using a different emission factor than in 1996</t>
  </si>
  <si>
    <t>Source did not operate in 1996 and the project was completed in 2001.</t>
  </si>
  <si>
    <t>This source's 2000 data is not included because the SOx emissions were less than 50 tons for the year.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</si>
</sst>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_)"/>
    <numFmt numFmtId="168" formatCode="0.000000"/>
    <numFmt numFmtId="169" formatCode="0.0000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8"/>
      <name val="Arial"/>
      <family val="2"/>
    </font>
    <font>
      <sz val="8"/>
      <name val="Arial MT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29" applyFont="1" applyFill="1" applyBorder="1" applyAlignment="1">
      <alignment horizontal="right"/>
      <protection/>
    </xf>
    <xf numFmtId="0" fontId="5" fillId="0" borderId="1" xfId="29" applyFont="1" applyFill="1" applyBorder="1" applyAlignment="1">
      <alignment horizontal="left"/>
      <protection/>
    </xf>
    <xf numFmtId="4" fontId="5" fillId="0" borderId="1" xfId="2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2" fontId="5" fillId="0" borderId="1" xfId="29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5" fillId="0" borderId="1" xfId="30" applyFont="1" applyFill="1" applyBorder="1" applyAlignment="1">
      <alignment horizontal="right" wrapText="1"/>
      <protection/>
    </xf>
    <xf numFmtId="0" fontId="5" fillId="0" borderId="1" xfId="30" applyFont="1" applyFill="1" applyBorder="1" applyAlignment="1">
      <alignment horizontal="left" wrapText="1"/>
      <protection/>
    </xf>
    <xf numFmtId="0" fontId="5" fillId="0" borderId="1" xfId="30" applyFont="1" applyFill="1" applyBorder="1" applyAlignment="1">
      <alignment horizontal="left"/>
      <protection/>
    </xf>
    <xf numFmtId="0" fontId="5" fillId="0" borderId="0" xfId="30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5" fillId="0" borderId="1" xfId="32" applyFont="1" applyFill="1" applyBorder="1" applyAlignment="1">
      <alignment horizontal="right"/>
      <protection/>
    </xf>
    <xf numFmtId="0" fontId="5" fillId="0" borderId="1" xfId="32" applyFont="1" applyFill="1" applyBorder="1" applyAlignment="1">
      <alignment horizontal="left"/>
      <protection/>
    </xf>
    <xf numFmtId="0" fontId="5" fillId="0" borderId="0" xfId="32" applyFont="1" applyFill="1" applyBorder="1" applyAlignment="1">
      <alignment horizontal="left"/>
      <protection/>
    </xf>
    <xf numFmtId="2" fontId="0" fillId="0" borderId="0" xfId="0" applyNumberFormat="1" applyAlignment="1">
      <alignment/>
    </xf>
    <xf numFmtId="0" fontId="5" fillId="0" borderId="1" xfId="29" applyFont="1" applyFill="1" applyBorder="1" applyAlignment="1">
      <alignment horizontal="right" wrapText="1"/>
      <protection/>
    </xf>
    <xf numFmtId="0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0" fontId="5" fillId="0" borderId="1" xfId="31" applyFont="1" applyFill="1" applyBorder="1" applyAlignment="1">
      <alignment horizontal="right"/>
      <protection/>
    </xf>
    <xf numFmtId="0" fontId="5" fillId="0" borderId="1" xfId="31" applyFont="1" applyFill="1" applyBorder="1" applyAlignment="1">
      <alignment horizontal="left"/>
      <protection/>
    </xf>
    <xf numFmtId="10" fontId="0" fillId="0" borderId="0" xfId="0" applyNumberFormat="1" applyAlignment="1">
      <alignment/>
    </xf>
    <xf numFmtId="0" fontId="5" fillId="0" borderId="1" xfId="21" applyFont="1" applyFill="1" applyBorder="1" applyAlignment="1">
      <alignment horizontal="right" wrapText="1"/>
      <protection/>
    </xf>
    <xf numFmtId="0" fontId="5" fillId="0" borderId="1" xfId="21" applyFont="1" applyFill="1" applyBorder="1" applyAlignment="1">
      <alignment horizontal="left"/>
      <protection/>
    </xf>
    <xf numFmtId="2" fontId="5" fillId="0" borderId="1" xfId="22" applyNumberFormat="1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5" fillId="0" borderId="1" xfId="31" applyFont="1" applyFill="1" applyBorder="1" applyAlignment="1">
      <alignment horizontal="right" wrapText="1"/>
      <protection/>
    </xf>
    <xf numFmtId="0" fontId="5" fillId="0" borderId="1" xfId="26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5" fillId="0" borderId="1" xfId="31" applyNumberFormat="1" applyFont="1" applyFill="1" applyBorder="1" applyAlignment="1">
      <alignment horizontal="right"/>
      <protection/>
    </xf>
    <xf numFmtId="0" fontId="5" fillId="0" borderId="1" xfId="31" applyNumberFormat="1" applyFont="1" applyFill="1" applyBorder="1" applyAlignment="1">
      <alignment horizontal="left"/>
      <protection/>
    </xf>
    <xf numFmtId="49" fontId="0" fillId="0" borderId="0" xfId="0" applyNumberFormat="1" applyAlignment="1">
      <alignment/>
    </xf>
    <xf numFmtId="0" fontId="5" fillId="0" borderId="1" xfId="33" applyFont="1" applyFill="1" applyBorder="1" applyAlignment="1">
      <alignment horizontal="right"/>
      <protection/>
    </xf>
    <xf numFmtId="0" fontId="5" fillId="0" borderId="1" xfId="33" applyFont="1" applyFill="1" applyBorder="1" applyAlignment="1">
      <alignment horizontal="left"/>
      <protection/>
    </xf>
    <xf numFmtId="0" fontId="5" fillId="0" borderId="1" xfId="25" applyFont="1" applyFill="1" applyBorder="1" applyAlignment="1">
      <alignment horizontal="right"/>
      <protection/>
    </xf>
    <xf numFmtId="0" fontId="5" fillId="0" borderId="1" xfId="25" applyFont="1" applyFill="1" applyBorder="1" applyAlignment="1">
      <alignment horizontal="left"/>
      <protection/>
    </xf>
    <xf numFmtId="0" fontId="5" fillId="0" borderId="1" xfId="23" applyFont="1" applyFill="1" applyBorder="1" applyAlignment="1">
      <alignment horizontal="right"/>
      <protection/>
    </xf>
    <xf numFmtId="0" fontId="5" fillId="0" borderId="1" xfId="23" applyFont="1" applyFill="1" applyBorder="1" applyAlignment="1">
      <alignment horizontal="left"/>
      <protection/>
    </xf>
    <xf numFmtId="0" fontId="5" fillId="0" borderId="1" xfId="34" applyFont="1" applyFill="1" applyBorder="1" applyAlignment="1">
      <alignment horizontal="right"/>
      <protection/>
    </xf>
    <xf numFmtId="0" fontId="5" fillId="0" borderId="1" xfId="34" applyFont="1" applyFill="1" applyBorder="1" applyAlignment="1">
      <alignment horizontal="left"/>
      <protection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29" applyFont="1" applyFill="1" applyBorder="1" applyAlignment="1">
      <alignment horizontal="left"/>
      <protection/>
    </xf>
    <xf numFmtId="0" fontId="5" fillId="0" borderId="0" xfId="29" applyFont="1" applyFill="1" applyBorder="1" applyAlignment="1">
      <alignment horizontal="right"/>
      <protection/>
    </xf>
    <xf numFmtId="0" fontId="0" fillId="0" borderId="0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5" fillId="0" borderId="0" xfId="30" applyFont="1" applyFill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0" borderId="8" xfId="30" applyFont="1" applyFill="1" applyBorder="1" applyAlignment="1">
      <alignment horizontal="left"/>
      <protection/>
    </xf>
    <xf numFmtId="0" fontId="5" fillId="0" borderId="8" xfId="30" applyFont="1" applyFill="1" applyBorder="1" applyAlignment="1">
      <alignment horizontal="right"/>
      <protection/>
    </xf>
    <xf numFmtId="0" fontId="0" fillId="0" borderId="8" xfId="0" applyFill="1" applyBorder="1" applyAlignment="1">
      <alignment horizontal="right"/>
    </xf>
    <xf numFmtId="0" fontId="0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right" vertical="top"/>
    </xf>
    <xf numFmtId="2" fontId="5" fillId="0" borderId="8" xfId="30" applyNumberFormat="1" applyFont="1" applyFill="1" applyBorder="1" applyAlignment="1">
      <alignment horizontal="right"/>
      <protection/>
    </xf>
    <xf numFmtId="0" fontId="5" fillId="0" borderId="8" xfId="30" applyFont="1" applyFill="1" applyBorder="1" applyAlignment="1">
      <alignment horizontal="right"/>
      <protection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5" xfId="30" applyFont="1" applyFill="1" applyBorder="1" applyAlignment="1">
      <alignment horizontal="right"/>
      <protection/>
    </xf>
    <xf numFmtId="0" fontId="5" fillId="0" borderId="5" xfId="30" applyFont="1" applyFill="1" applyBorder="1" applyAlignment="1">
      <alignment horizontal="left"/>
      <protection/>
    </xf>
    <xf numFmtId="2" fontId="5" fillId="0" borderId="5" xfId="30" applyNumberFormat="1" applyFont="1" applyFill="1" applyBorder="1" applyAlignment="1">
      <alignment horizontal="right"/>
      <protection/>
    </xf>
    <xf numFmtId="0" fontId="5" fillId="0" borderId="11" xfId="30" applyFont="1" applyFill="1" applyBorder="1" applyAlignment="1">
      <alignment horizontal="left"/>
      <protection/>
    </xf>
    <xf numFmtId="0" fontId="5" fillId="0" borderId="6" xfId="30" applyFont="1" applyFill="1" applyBorder="1" applyAlignment="1">
      <alignment horizontal="left"/>
      <protection/>
    </xf>
    <xf numFmtId="0" fontId="5" fillId="0" borderId="0" xfId="32" applyFont="1" applyFill="1" applyBorder="1" applyAlignment="1">
      <alignment horizontal="right"/>
      <protection/>
    </xf>
    <xf numFmtId="0" fontId="1" fillId="0" borderId="0" xfId="0" applyFont="1" applyBorder="1" applyAlignment="1">
      <alignment/>
    </xf>
    <xf numFmtId="0" fontId="5" fillId="0" borderId="8" xfId="32" applyFont="1" applyFill="1" applyBorder="1" applyAlignment="1">
      <alignment horizontal="left"/>
      <protection/>
    </xf>
    <xf numFmtId="0" fontId="5" fillId="0" borderId="8" xfId="32" applyFont="1" applyFill="1" applyBorder="1" applyAlignment="1">
      <alignment horizontal="right"/>
      <protection/>
    </xf>
    <xf numFmtId="0" fontId="5" fillId="0" borderId="11" xfId="32" applyFont="1" applyFill="1" applyBorder="1" applyAlignment="1">
      <alignment horizontal="left"/>
      <protection/>
    </xf>
    <xf numFmtId="0" fontId="5" fillId="0" borderId="5" xfId="32" applyFont="1" applyFill="1" applyBorder="1" applyAlignment="1">
      <alignment horizontal="left"/>
      <protection/>
    </xf>
    <xf numFmtId="0" fontId="5" fillId="0" borderId="5" xfId="32" applyFont="1" applyFill="1" applyBorder="1" applyAlignment="1">
      <alignment horizontal="right"/>
      <protection/>
    </xf>
    <xf numFmtId="0" fontId="5" fillId="0" borderId="6" xfId="32" applyFont="1" applyFill="1" applyBorder="1" applyAlignment="1">
      <alignment horizontal="left"/>
      <protection/>
    </xf>
    <xf numFmtId="0" fontId="5" fillId="0" borderId="12" xfId="32" applyFont="1" applyFill="1" applyBorder="1" applyAlignment="1">
      <alignment horizontal="right"/>
      <protection/>
    </xf>
    <xf numFmtId="0" fontId="5" fillId="0" borderId="13" xfId="32" applyFont="1" applyFill="1" applyBorder="1" applyAlignment="1">
      <alignment horizontal="right"/>
      <protection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31" applyFont="1" applyFill="1" applyBorder="1" applyAlignment="1">
      <alignment horizontal="right"/>
      <protection/>
    </xf>
    <xf numFmtId="0" fontId="5" fillId="0" borderId="8" xfId="29" applyFont="1" applyFill="1" applyBorder="1" applyAlignment="1">
      <alignment horizontal="left" wrapText="1"/>
      <protection/>
    </xf>
    <xf numFmtId="0" fontId="5" fillId="0" borderId="8" xfId="29" applyFont="1" applyFill="1" applyBorder="1" applyAlignment="1">
      <alignment horizontal="right" wrapText="1"/>
      <protection/>
    </xf>
    <xf numFmtId="2" fontId="5" fillId="0" borderId="8" xfId="29" applyNumberFormat="1" applyFont="1" applyFill="1" applyBorder="1" applyAlignment="1">
      <alignment horizontal="right" wrapText="1"/>
      <protection/>
    </xf>
    <xf numFmtId="0" fontId="5" fillId="0" borderId="8" xfId="29" applyFont="1" applyFill="1" applyBorder="1" applyAlignment="1">
      <alignment horizontal="right"/>
      <protection/>
    </xf>
    <xf numFmtId="169" fontId="5" fillId="0" borderId="8" xfId="29" applyNumberFormat="1" applyFont="1" applyFill="1" applyBorder="1" applyAlignment="1">
      <alignment horizontal="right" vertical="center" wrapText="1"/>
      <protection/>
    </xf>
    <xf numFmtId="0" fontId="0" fillId="0" borderId="8" xfId="0" applyNumberFormat="1" applyFont="1" applyBorder="1" applyAlignment="1">
      <alignment horizontal="right"/>
    </xf>
    <xf numFmtId="165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16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 quotePrefix="1">
      <alignment horizontal="left"/>
    </xf>
    <xf numFmtId="0" fontId="0" fillId="0" borderId="8" xfId="0" applyNumberFormat="1" applyFont="1" applyFill="1" applyBorder="1" applyAlignment="1">
      <alignment horizontal="left"/>
    </xf>
    <xf numFmtId="2" fontId="0" fillId="0" borderId="8" xfId="0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right"/>
    </xf>
    <xf numFmtId="16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right"/>
    </xf>
    <xf numFmtId="165" fontId="5" fillId="0" borderId="8" xfId="29" applyNumberFormat="1" applyFont="1" applyFill="1" applyBorder="1" applyAlignment="1">
      <alignment horizontal="right" wrapText="1"/>
      <protection/>
    </xf>
    <xf numFmtId="0" fontId="5" fillId="0" borderId="8" xfId="29" applyFont="1" applyFill="1" applyBorder="1" applyAlignment="1">
      <alignment horizontal="left"/>
      <protection/>
    </xf>
    <xf numFmtId="2" fontId="0" fillId="0" borderId="8" xfId="0" applyNumberFormat="1" applyFont="1" applyFill="1" applyBorder="1" applyAlignment="1">
      <alignment horizontal="center"/>
    </xf>
    <xf numFmtId="0" fontId="5" fillId="0" borderId="8" xfId="31" applyFont="1" applyFill="1" applyBorder="1" applyAlignment="1">
      <alignment horizontal="left"/>
      <protection/>
    </xf>
    <xf numFmtId="0" fontId="5" fillId="0" borderId="8" xfId="31" applyFont="1" applyFill="1" applyBorder="1" applyAlignment="1">
      <alignment horizontal="right"/>
      <protection/>
    </xf>
    <xf numFmtId="169" fontId="5" fillId="0" borderId="8" xfId="31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29" applyFont="1" applyFill="1" applyBorder="1" applyAlignment="1">
      <alignment horizontal="left"/>
      <protection/>
    </xf>
    <xf numFmtId="0" fontId="0" fillId="0" borderId="11" xfId="0" applyNumberFormat="1" applyFont="1" applyBorder="1" applyAlignment="1">
      <alignment/>
    </xf>
    <xf numFmtId="0" fontId="5" fillId="0" borderId="5" xfId="31" applyFont="1" applyFill="1" applyBorder="1" applyAlignment="1">
      <alignment horizontal="right"/>
      <protection/>
    </xf>
    <xf numFmtId="0" fontId="5" fillId="0" borderId="5" xfId="31" applyFont="1" applyFill="1" applyBorder="1" applyAlignment="1">
      <alignment horizontal="left"/>
      <protection/>
    </xf>
    <xf numFmtId="169" fontId="5" fillId="0" borderId="5" xfId="31" applyNumberFormat="1" applyFont="1" applyFill="1" applyBorder="1" applyAlignment="1">
      <alignment horizontal="right" vertical="center"/>
      <protection/>
    </xf>
    <xf numFmtId="0" fontId="5" fillId="0" borderId="6" xfId="29" applyFont="1" applyFill="1" applyBorder="1" applyAlignment="1">
      <alignment horizontal="left"/>
      <protection/>
    </xf>
    <xf numFmtId="0" fontId="5" fillId="0" borderId="14" xfId="29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/>
    </xf>
    <xf numFmtId="0" fontId="5" fillId="0" borderId="14" xfId="31" applyFont="1" applyFill="1" applyBorder="1" applyAlignment="1">
      <alignment horizontal="left"/>
      <protection/>
    </xf>
    <xf numFmtId="0" fontId="5" fillId="0" borderId="15" xfId="31" applyFont="1" applyFill="1" applyBorder="1" applyAlignment="1">
      <alignment horizontal="left"/>
      <protection/>
    </xf>
    <xf numFmtId="0" fontId="5" fillId="0" borderId="11" xfId="29" applyFont="1" applyFill="1" applyBorder="1" applyAlignment="1">
      <alignment horizontal="right" wrapText="1"/>
      <protection/>
    </xf>
    <xf numFmtId="0" fontId="0" fillId="0" borderId="11" xfId="0" applyNumberFormat="1" applyFont="1" applyFill="1" applyBorder="1" applyAlignment="1">
      <alignment horizontal="right"/>
    </xf>
    <xf numFmtId="0" fontId="5" fillId="0" borderId="11" xfId="29" applyFont="1" applyFill="1" applyBorder="1" applyAlignment="1">
      <alignment horizontal="right"/>
      <protection/>
    </xf>
    <xf numFmtId="0" fontId="5" fillId="0" borderId="12" xfId="31" applyFont="1" applyFill="1" applyBorder="1" applyAlignment="1">
      <alignment horizontal="right"/>
      <protection/>
    </xf>
    <xf numFmtId="0" fontId="5" fillId="0" borderId="11" xfId="31" applyFont="1" applyFill="1" applyBorder="1" applyAlignment="1">
      <alignment horizontal="right"/>
      <protection/>
    </xf>
    <xf numFmtId="0" fontId="5" fillId="0" borderId="13" xfId="31" applyFont="1" applyFill="1" applyBorder="1" applyAlignment="1">
      <alignment horizontal="right"/>
      <protection/>
    </xf>
    <xf numFmtId="0" fontId="5" fillId="0" borderId="6" xfId="31" applyFont="1" applyFill="1" applyBorder="1" applyAlignment="1">
      <alignment horizontal="right"/>
      <protection/>
    </xf>
    <xf numFmtId="0" fontId="1" fillId="0" borderId="12" xfId="0" applyFont="1" applyBorder="1" applyAlignment="1">
      <alignment horizontal="center" wrapText="1"/>
    </xf>
    <xf numFmtId="2" fontId="5" fillId="0" borderId="12" xfId="29" applyNumberFormat="1" applyFont="1" applyFill="1" applyBorder="1" applyAlignment="1">
      <alignment horizontal="right" wrapText="1"/>
      <protection/>
    </xf>
    <xf numFmtId="2" fontId="0" fillId="0" borderId="12" xfId="0" applyNumberFormat="1" applyFont="1" applyFill="1" applyBorder="1" applyAlignment="1">
      <alignment horizontal="right"/>
    </xf>
    <xf numFmtId="2" fontId="5" fillId="0" borderId="13" xfId="29" applyNumberFormat="1" applyFont="1" applyFill="1" applyBorder="1" applyAlignment="1">
      <alignment horizontal="right" wrapText="1"/>
      <protection/>
    </xf>
    <xf numFmtId="0" fontId="5" fillId="0" borderId="12" xfId="29" applyFont="1" applyFill="1" applyBorder="1" applyAlignment="1">
      <alignment wrapText="1"/>
      <protection/>
    </xf>
    <xf numFmtId="2" fontId="5" fillId="0" borderId="11" xfId="29" applyNumberFormat="1" applyFont="1" applyFill="1" applyBorder="1" applyAlignment="1">
      <alignment horizontal="right" wrapText="1"/>
      <protection/>
    </xf>
    <xf numFmtId="0" fontId="0" fillId="0" borderId="12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0" fontId="5" fillId="0" borderId="12" xfId="31" applyFont="1" applyFill="1" applyBorder="1" applyAlignment="1">
      <alignment/>
      <protection/>
    </xf>
    <xf numFmtId="0" fontId="5" fillId="0" borderId="13" xfId="31" applyFont="1" applyFill="1" applyBorder="1" applyAlignment="1">
      <alignment/>
      <protection/>
    </xf>
    <xf numFmtId="2" fontId="5" fillId="0" borderId="6" xfId="29" applyNumberFormat="1" applyFont="1" applyFill="1" applyBorder="1" applyAlignment="1">
      <alignment horizontal="right" wrapText="1"/>
      <protection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5" fillId="0" borderId="8" xfId="29" applyNumberFormat="1" applyFont="1" applyFill="1" applyBorder="1" applyAlignment="1">
      <alignment horizontal="right"/>
      <protection/>
    </xf>
    <xf numFmtId="10" fontId="5" fillId="0" borderId="8" xfId="29" applyNumberFormat="1" applyFont="1" applyFill="1" applyBorder="1" applyAlignment="1">
      <alignment horizontal="right"/>
      <protection/>
    </xf>
    <xf numFmtId="0" fontId="0" fillId="0" borderId="5" xfId="0" applyBorder="1" applyAlignment="1">
      <alignment/>
    </xf>
    <xf numFmtId="0" fontId="5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right"/>
      <protection/>
    </xf>
    <xf numFmtId="165" fontId="0" fillId="0" borderId="0" xfId="0" applyNumberFormat="1" applyBorder="1" applyAlignment="1">
      <alignment/>
    </xf>
    <xf numFmtId="0" fontId="5" fillId="0" borderId="8" xfId="21" applyFont="1" applyFill="1" applyBorder="1" applyAlignment="1">
      <alignment horizontal="left"/>
      <protection/>
    </xf>
    <xf numFmtId="0" fontId="5" fillId="0" borderId="8" xfId="21" applyFont="1" applyFill="1" applyBorder="1" applyAlignment="1">
      <alignment horizontal="right"/>
      <protection/>
    </xf>
    <xf numFmtId="165" fontId="5" fillId="0" borderId="8" xfId="21" applyNumberFormat="1" applyFont="1" applyFill="1" applyBorder="1" applyAlignment="1">
      <alignment horizontal="right"/>
      <protection/>
    </xf>
    <xf numFmtId="0" fontId="5" fillId="0" borderId="8" xfId="21" applyFont="1" applyFill="1" applyBorder="1" applyAlignment="1">
      <alignment horizontal="left" wrapText="1"/>
      <protection/>
    </xf>
    <xf numFmtId="2" fontId="5" fillId="0" borderId="16" xfId="22" applyNumberFormat="1" applyFont="1" applyFill="1" applyBorder="1" applyAlignment="1">
      <alignment horizontal="right"/>
      <protection/>
    </xf>
    <xf numFmtId="0" fontId="5" fillId="0" borderId="16" xfId="22" applyFont="1" applyFill="1" applyBorder="1" applyAlignment="1">
      <alignment horizontal="left"/>
      <protection/>
    </xf>
    <xf numFmtId="2" fontId="5" fillId="0" borderId="8" xfId="22" applyNumberFormat="1" applyFont="1" applyFill="1" applyBorder="1" applyAlignment="1">
      <alignment horizontal="left"/>
      <protection/>
    </xf>
    <xf numFmtId="0" fontId="5" fillId="0" borderId="8" xfId="22" applyNumberFormat="1" applyFont="1" applyFill="1" applyBorder="1" applyAlignment="1">
      <alignment horizontal="right"/>
      <protection/>
    </xf>
    <xf numFmtId="2" fontId="5" fillId="0" borderId="8" xfId="22" applyNumberFormat="1" applyFont="1" applyFill="1" applyBorder="1" applyAlignment="1">
      <alignment horizontal="right"/>
      <protection/>
    </xf>
    <xf numFmtId="0" fontId="5" fillId="0" borderId="8" xfId="22" applyFont="1" applyFill="1" applyBorder="1" applyAlignment="1">
      <alignment horizontal="right"/>
      <protection/>
    </xf>
    <xf numFmtId="0" fontId="5" fillId="0" borderId="8" xfId="22" applyFont="1" applyFill="1" applyBorder="1" applyAlignment="1">
      <alignment horizontal="left"/>
      <protection/>
    </xf>
    <xf numFmtId="0" fontId="5" fillId="0" borderId="8" xfId="22" applyNumberFormat="1" applyFont="1" applyFill="1" applyBorder="1" applyAlignment="1">
      <alignment horizontal="left"/>
      <protection/>
    </xf>
    <xf numFmtId="10" fontId="5" fillId="0" borderId="8" xfId="22" applyNumberFormat="1" applyFont="1" applyFill="1" applyBorder="1" applyAlignment="1">
      <alignment horizontal="left"/>
      <protection/>
    </xf>
    <xf numFmtId="10" fontId="5" fillId="0" borderId="8" xfId="22" applyNumberFormat="1" applyFont="1" applyFill="1" applyBorder="1" applyAlignment="1">
      <alignment horizontal="right"/>
      <protection/>
    </xf>
    <xf numFmtId="168" fontId="5" fillId="0" borderId="8" xfId="22" applyNumberFormat="1" applyFont="1" applyFill="1" applyBorder="1" applyAlignment="1">
      <alignment horizontal="right"/>
      <protection/>
    </xf>
    <xf numFmtId="0" fontId="5" fillId="0" borderId="8" xfId="22" applyFont="1" applyFill="1" applyBorder="1" applyAlignment="1">
      <alignment horizontal="right" wrapText="1"/>
      <protection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2" fontId="5" fillId="0" borderId="18" xfId="22" applyNumberFormat="1" applyFont="1" applyFill="1" applyBorder="1" applyAlignment="1">
      <alignment horizontal="left"/>
      <protection/>
    </xf>
    <xf numFmtId="0" fontId="5" fillId="0" borderId="10" xfId="22" applyNumberFormat="1" applyFont="1" applyFill="1" applyBorder="1" applyAlignment="1">
      <alignment horizontal="right"/>
      <protection/>
    </xf>
    <xf numFmtId="2" fontId="5" fillId="0" borderId="10" xfId="22" applyNumberFormat="1" applyFont="1" applyFill="1" applyBorder="1" applyAlignment="1">
      <alignment horizontal="left"/>
      <protection/>
    </xf>
    <xf numFmtId="2" fontId="5" fillId="0" borderId="10" xfId="22" applyNumberFormat="1" applyFont="1" applyFill="1" applyBorder="1" applyAlignment="1">
      <alignment horizontal="right"/>
      <protection/>
    </xf>
    <xf numFmtId="0" fontId="5" fillId="0" borderId="10" xfId="22" applyFont="1" applyFill="1" applyBorder="1" applyAlignment="1">
      <alignment horizontal="right"/>
      <protection/>
    </xf>
    <xf numFmtId="0" fontId="5" fillId="0" borderId="10" xfId="22" applyFont="1" applyFill="1" applyBorder="1" applyAlignment="1">
      <alignment horizontal="left"/>
      <protection/>
    </xf>
    <xf numFmtId="0" fontId="5" fillId="0" borderId="10" xfId="22" applyNumberFormat="1" applyFont="1" applyFill="1" applyBorder="1" applyAlignment="1">
      <alignment horizontal="left"/>
      <protection/>
    </xf>
    <xf numFmtId="10" fontId="5" fillId="0" borderId="10" xfId="22" applyNumberFormat="1" applyFont="1" applyFill="1" applyBorder="1" applyAlignment="1">
      <alignment horizontal="left"/>
      <protection/>
    </xf>
    <xf numFmtId="10" fontId="5" fillId="0" borderId="10" xfId="22" applyNumberFormat="1" applyFont="1" applyFill="1" applyBorder="1" applyAlignment="1">
      <alignment horizontal="right"/>
      <protection/>
    </xf>
    <xf numFmtId="2" fontId="5" fillId="0" borderId="19" xfId="22" applyNumberFormat="1" applyFont="1" applyFill="1" applyBorder="1" applyAlignment="1">
      <alignment horizontal="left"/>
      <protection/>
    </xf>
    <xf numFmtId="2" fontId="5" fillId="0" borderId="12" xfId="22" applyNumberFormat="1" applyFont="1" applyFill="1" applyBorder="1" applyAlignment="1">
      <alignment horizontal="left"/>
      <protection/>
    </xf>
    <xf numFmtId="2" fontId="5" fillId="0" borderId="11" xfId="22" applyNumberFormat="1" applyFont="1" applyFill="1" applyBorder="1" applyAlignment="1">
      <alignment horizontal="left"/>
      <protection/>
    </xf>
    <xf numFmtId="0" fontId="5" fillId="0" borderId="8" xfId="24" applyFont="1" applyFill="1" applyBorder="1" applyAlignment="1">
      <alignment horizontal="left"/>
      <protection/>
    </xf>
    <xf numFmtId="0" fontId="5" fillId="0" borderId="8" xfId="24" applyFont="1" applyFill="1" applyBorder="1" applyAlignment="1">
      <alignment horizontal="right"/>
      <protection/>
    </xf>
    <xf numFmtId="4" fontId="5" fillId="0" borderId="8" xfId="24" applyNumberFormat="1" applyFont="1" applyFill="1" applyBorder="1" applyAlignment="1">
      <alignment horizontal="right"/>
      <protection/>
    </xf>
    <xf numFmtId="0" fontId="5" fillId="0" borderId="18" xfId="30" applyFont="1" applyFill="1" applyBorder="1" applyAlignment="1">
      <alignment horizontal="left"/>
      <protection/>
    </xf>
    <xf numFmtId="0" fontId="5" fillId="0" borderId="10" xfId="30" applyFont="1" applyFill="1" applyBorder="1" applyAlignment="1">
      <alignment horizontal="right"/>
      <protection/>
    </xf>
    <xf numFmtId="0" fontId="5" fillId="0" borderId="10" xfId="30" applyFont="1" applyFill="1" applyBorder="1" applyAlignment="1">
      <alignment horizontal="left"/>
      <protection/>
    </xf>
    <xf numFmtId="2" fontId="5" fillId="0" borderId="10" xfId="30" applyNumberFormat="1" applyFont="1" applyFill="1" applyBorder="1" applyAlignment="1">
      <alignment horizontal="right"/>
      <protection/>
    </xf>
    <xf numFmtId="0" fontId="5" fillId="0" borderId="19" xfId="30" applyFont="1" applyFill="1" applyBorder="1" applyAlignment="1">
      <alignment horizontal="left"/>
      <protection/>
    </xf>
    <xf numFmtId="0" fontId="5" fillId="0" borderId="12" xfId="30" applyFont="1" applyFill="1" applyBorder="1" applyAlignment="1">
      <alignment horizontal="left"/>
      <protection/>
    </xf>
    <xf numFmtId="0" fontId="5" fillId="0" borderId="13" xfId="30" applyFont="1" applyFill="1" applyBorder="1" applyAlignment="1">
      <alignment horizontal="left"/>
      <protection/>
    </xf>
    <xf numFmtId="0" fontId="0" fillId="0" borderId="5" xfId="0" applyBorder="1" applyAlignment="1">
      <alignment/>
    </xf>
    <xf numFmtId="0" fontId="5" fillId="0" borderId="5" xfId="24" applyFont="1" applyFill="1" applyBorder="1" applyAlignment="1">
      <alignment horizontal="left"/>
      <protection/>
    </xf>
    <xf numFmtId="0" fontId="5" fillId="0" borderId="5" xfId="24" applyFont="1" applyFill="1" applyBorder="1" applyAlignment="1">
      <alignment horizontal="right"/>
      <protection/>
    </xf>
    <xf numFmtId="4" fontId="5" fillId="0" borderId="5" xfId="24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30" applyFont="1" applyFill="1" applyBorder="1" applyAlignment="1">
      <alignment horizontal="left"/>
      <protection/>
    </xf>
    <xf numFmtId="0" fontId="5" fillId="0" borderId="8" xfId="26" applyFont="1" applyFill="1" applyBorder="1" applyAlignment="1">
      <alignment horizontal="right"/>
      <protection/>
    </xf>
    <xf numFmtId="0" fontId="5" fillId="0" borderId="8" xfId="26" applyFont="1" applyFill="1" applyBorder="1" applyAlignment="1">
      <alignment horizontal="left"/>
      <protection/>
    </xf>
    <xf numFmtId="2" fontId="5" fillId="0" borderId="8" xfId="26" applyNumberFormat="1" applyFont="1" applyFill="1" applyBorder="1" applyAlignment="1">
      <alignment horizontal="right"/>
      <protection/>
    </xf>
    <xf numFmtId="0" fontId="5" fillId="0" borderId="12" xfId="26" applyFont="1" applyFill="1" applyBorder="1" applyAlignment="1">
      <alignment horizontal="right"/>
      <protection/>
    </xf>
    <xf numFmtId="0" fontId="5" fillId="0" borderId="13" xfId="26" applyFont="1" applyFill="1" applyBorder="1" applyAlignment="1">
      <alignment horizontal="right"/>
      <protection/>
    </xf>
    <xf numFmtId="0" fontId="5" fillId="0" borderId="5" xfId="26" applyFont="1" applyFill="1" applyBorder="1" applyAlignment="1">
      <alignment horizontal="left"/>
      <protection/>
    </xf>
    <xf numFmtId="0" fontId="5" fillId="0" borderId="5" xfId="26" applyFont="1" applyFill="1" applyBorder="1" applyAlignment="1">
      <alignment horizontal="right"/>
      <protection/>
    </xf>
    <xf numFmtId="2" fontId="5" fillId="0" borderId="5" xfId="26" applyNumberFormat="1" applyFont="1" applyFill="1" applyBorder="1" applyAlignment="1">
      <alignment horizontal="right"/>
      <protection/>
    </xf>
    <xf numFmtId="0" fontId="0" fillId="0" borderId="6" xfId="0" applyBorder="1" applyAlignment="1">
      <alignment/>
    </xf>
    <xf numFmtId="0" fontId="5" fillId="0" borderId="20" xfId="26" applyFont="1" applyFill="1" applyBorder="1" applyAlignment="1">
      <alignment horizontal="right"/>
      <protection/>
    </xf>
    <xf numFmtId="0" fontId="5" fillId="0" borderId="18" xfId="26" applyFont="1" applyFill="1" applyBorder="1" applyAlignment="1">
      <alignment horizontal="right"/>
      <protection/>
    </xf>
    <xf numFmtId="0" fontId="5" fillId="0" borderId="10" xfId="26" applyFont="1" applyFill="1" applyBorder="1" applyAlignment="1">
      <alignment horizontal="left"/>
      <protection/>
    </xf>
    <xf numFmtId="0" fontId="5" fillId="0" borderId="10" xfId="26" applyFont="1" applyFill="1" applyBorder="1" applyAlignment="1">
      <alignment horizontal="right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5" fillId="0" borderId="14" xfId="26" applyFont="1" applyFill="1" applyBorder="1" applyAlignment="1">
      <alignment horizontal="right"/>
      <protection/>
    </xf>
    <xf numFmtId="0" fontId="5" fillId="0" borderId="15" xfId="26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26" applyFont="1" applyFill="1" applyBorder="1" applyAlignment="1">
      <alignment horizontal="right"/>
      <protection/>
    </xf>
    <xf numFmtId="0" fontId="5" fillId="0" borderId="6" xfId="26" applyFont="1" applyFill="1" applyBorder="1" applyAlignment="1">
      <alignment horizontal="right"/>
      <protection/>
    </xf>
    <xf numFmtId="0" fontId="0" fillId="0" borderId="18" xfId="0" applyBorder="1" applyAlignment="1">
      <alignment/>
    </xf>
    <xf numFmtId="0" fontId="1" fillId="0" borderId="3" xfId="0" applyFont="1" applyBorder="1" applyAlignment="1">
      <alignment horizontal="center" wrapText="1"/>
    </xf>
    <xf numFmtId="2" fontId="0" fillId="0" borderId="19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5" fontId="5" fillId="0" borderId="8" xfId="32" applyNumberFormat="1" applyFont="1" applyFill="1" applyBorder="1" applyAlignment="1">
      <alignment horizontal="right"/>
      <protection/>
    </xf>
    <xf numFmtId="0" fontId="5" fillId="0" borderId="10" xfId="32" applyFont="1" applyFill="1" applyBorder="1" applyAlignment="1">
      <alignment horizontal="right"/>
      <protection/>
    </xf>
    <xf numFmtId="0" fontId="5" fillId="0" borderId="10" xfId="32" applyFont="1" applyFill="1" applyBorder="1" applyAlignment="1">
      <alignment horizontal="left"/>
      <protection/>
    </xf>
    <xf numFmtId="0" fontId="5" fillId="0" borderId="19" xfId="32" applyFont="1" applyFill="1" applyBorder="1" applyAlignment="1">
      <alignment horizontal="left"/>
      <protection/>
    </xf>
    <xf numFmtId="165" fontId="5" fillId="0" borderId="5" xfId="32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5" fillId="0" borderId="18" xfId="32" applyFont="1" applyFill="1" applyBorder="1" applyAlignment="1">
      <alignment horizontal="right"/>
      <protection/>
    </xf>
    <xf numFmtId="0" fontId="5" fillId="0" borderId="19" xfId="32" applyFont="1" applyFill="1" applyBorder="1" applyAlignment="1">
      <alignment horizontal="right"/>
      <protection/>
    </xf>
    <xf numFmtId="0" fontId="5" fillId="0" borderId="11" xfId="32" applyFont="1" applyFill="1" applyBorder="1" applyAlignment="1">
      <alignment horizontal="right"/>
      <protection/>
    </xf>
    <xf numFmtId="0" fontId="5" fillId="0" borderId="6" xfId="32" applyFont="1" applyFill="1" applyBorder="1" applyAlignment="1">
      <alignment horizontal="right"/>
      <protection/>
    </xf>
    <xf numFmtId="0" fontId="5" fillId="0" borderId="8" xfId="27" applyFont="1" applyFill="1" applyBorder="1" applyAlignment="1">
      <alignment horizontal="left"/>
      <protection/>
    </xf>
    <xf numFmtId="0" fontId="5" fillId="0" borderId="8" xfId="27" applyFont="1" applyFill="1" applyBorder="1" applyAlignment="1">
      <alignment horizontal="right"/>
      <protection/>
    </xf>
    <xf numFmtId="165" fontId="5" fillId="0" borderId="8" xfId="27" applyNumberFormat="1" applyFont="1" applyFill="1" applyBorder="1" applyAlignment="1">
      <alignment horizontal="right"/>
      <protection/>
    </xf>
    <xf numFmtId="0" fontId="5" fillId="0" borderId="18" xfId="27" applyFont="1" applyFill="1" applyBorder="1" applyAlignment="1">
      <alignment horizontal="left"/>
      <protection/>
    </xf>
    <xf numFmtId="0" fontId="5" fillId="0" borderId="10" xfId="27" applyFont="1" applyFill="1" applyBorder="1" applyAlignment="1">
      <alignment horizontal="right"/>
      <protection/>
    </xf>
    <xf numFmtId="0" fontId="5" fillId="0" borderId="10" xfId="27" applyFont="1" applyFill="1" applyBorder="1" applyAlignment="1">
      <alignment horizontal="left"/>
      <protection/>
    </xf>
    <xf numFmtId="165" fontId="5" fillId="0" borderId="10" xfId="27" applyNumberFormat="1" applyFont="1" applyFill="1" applyBorder="1" applyAlignment="1">
      <alignment horizontal="right"/>
      <protection/>
    </xf>
    <xf numFmtId="0" fontId="5" fillId="0" borderId="19" xfId="27" applyFont="1" applyFill="1" applyBorder="1" applyAlignment="1">
      <alignment horizontal="left"/>
      <protection/>
    </xf>
    <xf numFmtId="0" fontId="5" fillId="0" borderId="12" xfId="27" applyFont="1" applyFill="1" applyBorder="1" applyAlignment="1">
      <alignment horizontal="left"/>
      <protection/>
    </xf>
    <xf numFmtId="0" fontId="5" fillId="0" borderId="11" xfId="27" applyFont="1" applyFill="1" applyBorder="1" applyAlignment="1">
      <alignment horizontal="left"/>
      <protection/>
    </xf>
    <xf numFmtId="0" fontId="5" fillId="0" borderId="8" xfId="31" applyNumberFormat="1" applyFont="1" applyFill="1" applyBorder="1" applyAlignment="1">
      <alignment horizontal="left"/>
      <protection/>
    </xf>
    <xf numFmtId="0" fontId="5" fillId="0" borderId="8" xfId="31" applyNumberFormat="1" applyFont="1" applyFill="1" applyBorder="1" applyAlignment="1">
      <alignment horizontal="right"/>
      <protection/>
    </xf>
    <xf numFmtId="165" fontId="5" fillId="0" borderId="8" xfId="31" applyNumberFormat="1" applyFont="1" applyFill="1" applyBorder="1" applyAlignment="1">
      <alignment horizontal="right"/>
      <protection/>
    </xf>
    <xf numFmtId="0" fontId="5" fillId="0" borderId="8" xfId="31" applyNumberFormat="1" applyFont="1" applyFill="1" applyBorder="1" applyAlignment="1">
      <alignment horizontal="right"/>
      <protection/>
    </xf>
    <xf numFmtId="49" fontId="5" fillId="0" borderId="8" xfId="31" applyNumberFormat="1" applyFont="1" applyFill="1" applyBorder="1" applyAlignment="1">
      <alignment horizontal="left"/>
      <protection/>
    </xf>
    <xf numFmtId="0" fontId="5" fillId="0" borderId="8" xfId="31" applyNumberFormat="1" applyFont="1" applyFill="1" applyBorder="1" applyAlignment="1">
      <alignment horizontal="left"/>
      <protection/>
    </xf>
    <xf numFmtId="0" fontId="5" fillId="0" borderId="8" xfId="28" applyFont="1" applyFill="1" applyBorder="1" applyAlignment="1">
      <alignment horizontal="left"/>
      <protection/>
    </xf>
    <xf numFmtId="165" fontId="5" fillId="0" borderId="8" xfId="31" applyNumberFormat="1" applyFont="1" applyFill="1" applyBorder="1" applyAlignment="1">
      <alignment horizontal="right"/>
      <protection/>
    </xf>
    <xf numFmtId="0" fontId="5" fillId="0" borderId="18" xfId="31" applyNumberFormat="1" applyFont="1" applyFill="1" applyBorder="1" applyAlignment="1">
      <alignment horizontal="left"/>
      <protection/>
    </xf>
    <xf numFmtId="0" fontId="5" fillId="0" borderId="10" xfId="31" applyNumberFormat="1" applyFont="1" applyFill="1" applyBorder="1" applyAlignment="1">
      <alignment horizontal="right"/>
      <protection/>
    </xf>
    <xf numFmtId="0" fontId="5" fillId="0" borderId="10" xfId="31" applyNumberFormat="1" applyFont="1" applyFill="1" applyBorder="1" applyAlignment="1">
      <alignment horizontal="left"/>
      <protection/>
    </xf>
    <xf numFmtId="0" fontId="5" fillId="0" borderId="19" xfId="31" applyNumberFormat="1" applyFont="1" applyFill="1" applyBorder="1" applyAlignment="1">
      <alignment horizontal="left"/>
      <protection/>
    </xf>
    <xf numFmtId="0" fontId="5" fillId="0" borderId="12" xfId="31" applyNumberFormat="1" applyFont="1" applyFill="1" applyBorder="1" applyAlignment="1">
      <alignment horizontal="left"/>
      <protection/>
    </xf>
    <xf numFmtId="0" fontId="5" fillId="0" borderId="11" xfId="31" applyNumberFormat="1" applyFont="1" applyFill="1" applyBorder="1" applyAlignment="1">
      <alignment horizontal="left"/>
      <protection/>
    </xf>
    <xf numFmtId="0" fontId="5" fillId="0" borderId="13" xfId="31" applyNumberFormat="1" applyFont="1" applyFill="1" applyBorder="1" applyAlignment="1">
      <alignment horizontal="left"/>
      <protection/>
    </xf>
    <xf numFmtId="0" fontId="5" fillId="0" borderId="5" xfId="31" applyNumberFormat="1" applyFont="1" applyFill="1" applyBorder="1" applyAlignment="1">
      <alignment horizontal="right"/>
      <protection/>
    </xf>
    <xf numFmtId="0" fontId="5" fillId="0" borderId="5" xfId="31" applyNumberFormat="1" applyFont="1" applyFill="1" applyBorder="1" applyAlignment="1">
      <alignment horizontal="left"/>
      <protection/>
    </xf>
    <xf numFmtId="165" fontId="5" fillId="0" borderId="5" xfId="31" applyNumberFormat="1" applyFont="1" applyFill="1" applyBorder="1" applyAlignment="1">
      <alignment horizontal="right"/>
      <protection/>
    </xf>
    <xf numFmtId="0" fontId="5" fillId="0" borderId="6" xfId="31" applyNumberFormat="1" applyFont="1" applyFill="1" applyBorder="1" applyAlignment="1">
      <alignment horizontal="left"/>
      <protection/>
    </xf>
    <xf numFmtId="0" fontId="5" fillId="0" borderId="18" xfId="31" applyNumberFormat="1" applyFont="1" applyFill="1" applyBorder="1" applyAlignment="1">
      <alignment horizontal="right"/>
      <protection/>
    </xf>
    <xf numFmtId="0" fontId="5" fillId="0" borderId="12" xfId="31" applyNumberFormat="1" applyFont="1" applyFill="1" applyBorder="1" applyAlignment="1">
      <alignment horizontal="right"/>
      <protection/>
    </xf>
    <xf numFmtId="0" fontId="5" fillId="0" borderId="19" xfId="31" applyNumberFormat="1" applyFont="1" applyFill="1" applyBorder="1" applyAlignment="1">
      <alignment horizontal="right"/>
      <protection/>
    </xf>
    <xf numFmtId="0" fontId="5" fillId="0" borderId="11" xfId="31" applyNumberFormat="1" applyFont="1" applyFill="1" applyBorder="1" applyAlignment="1">
      <alignment horizontal="right"/>
      <protection/>
    </xf>
    <xf numFmtId="0" fontId="5" fillId="0" borderId="24" xfId="33" applyFont="1" applyFill="1" applyBorder="1" applyAlignment="1">
      <alignment horizontal="right"/>
      <protection/>
    </xf>
    <xf numFmtId="0" fontId="5" fillId="0" borderId="8" xfId="33" applyFont="1" applyFill="1" applyBorder="1" applyAlignment="1">
      <alignment horizontal="left"/>
      <protection/>
    </xf>
    <xf numFmtId="0" fontId="5" fillId="0" borderId="8" xfId="33" applyFont="1" applyFill="1" applyBorder="1" applyAlignment="1">
      <alignment horizontal="right"/>
      <protection/>
    </xf>
    <xf numFmtId="165" fontId="5" fillId="0" borderId="8" xfId="33" applyNumberFormat="1" applyFont="1" applyFill="1" applyBorder="1" applyAlignment="1">
      <alignment horizontal="right"/>
      <protection/>
    </xf>
    <xf numFmtId="0" fontId="5" fillId="0" borderId="18" xfId="33" applyFont="1" applyFill="1" applyBorder="1" applyAlignment="1">
      <alignment horizontal="left"/>
      <protection/>
    </xf>
    <xf numFmtId="0" fontId="5" fillId="0" borderId="10" xfId="33" applyFont="1" applyFill="1" applyBorder="1" applyAlignment="1">
      <alignment horizontal="right"/>
      <protection/>
    </xf>
    <xf numFmtId="0" fontId="5" fillId="0" borderId="10" xfId="33" applyFont="1" applyFill="1" applyBorder="1" applyAlignment="1">
      <alignment horizontal="left"/>
      <protection/>
    </xf>
    <xf numFmtId="165" fontId="5" fillId="0" borderId="10" xfId="33" applyNumberFormat="1" applyFont="1" applyFill="1" applyBorder="1" applyAlignment="1">
      <alignment horizontal="right"/>
      <protection/>
    </xf>
    <xf numFmtId="0" fontId="5" fillId="0" borderId="19" xfId="33" applyFont="1" applyFill="1" applyBorder="1" applyAlignment="1">
      <alignment horizontal="left"/>
      <protection/>
    </xf>
    <xf numFmtId="0" fontId="5" fillId="0" borderId="12" xfId="33" applyFont="1" applyFill="1" applyBorder="1" applyAlignment="1">
      <alignment horizontal="left"/>
      <protection/>
    </xf>
    <xf numFmtId="0" fontId="5" fillId="0" borderId="11" xfId="33" applyFont="1" applyFill="1" applyBorder="1" applyAlignment="1">
      <alignment horizontal="left"/>
      <protection/>
    </xf>
    <xf numFmtId="0" fontId="5" fillId="0" borderId="13" xfId="33" applyFont="1" applyFill="1" applyBorder="1" applyAlignment="1">
      <alignment horizontal="left"/>
      <protection/>
    </xf>
    <xf numFmtId="0" fontId="5" fillId="0" borderId="5" xfId="33" applyFont="1" applyFill="1" applyBorder="1" applyAlignment="1">
      <alignment horizontal="right"/>
      <protection/>
    </xf>
    <xf numFmtId="0" fontId="5" fillId="0" borderId="5" xfId="33" applyFont="1" applyFill="1" applyBorder="1" applyAlignment="1">
      <alignment horizontal="left"/>
      <protection/>
    </xf>
    <xf numFmtId="165" fontId="5" fillId="0" borderId="5" xfId="33" applyNumberFormat="1" applyFont="1" applyFill="1" applyBorder="1" applyAlignment="1">
      <alignment horizontal="right"/>
      <protection/>
    </xf>
    <xf numFmtId="0" fontId="5" fillId="0" borderId="6" xfId="33" applyFont="1" applyFill="1" applyBorder="1" applyAlignment="1">
      <alignment horizontal="left"/>
      <protection/>
    </xf>
    <xf numFmtId="0" fontId="5" fillId="0" borderId="24" xfId="31" applyFont="1" applyFill="1" applyBorder="1" applyAlignment="1">
      <alignment horizontal="right"/>
      <protection/>
    </xf>
    <xf numFmtId="0" fontId="5" fillId="0" borderId="10" xfId="31" applyFont="1" applyFill="1" applyBorder="1" applyAlignment="1">
      <alignment horizontal="right"/>
      <protection/>
    </xf>
    <xf numFmtId="0" fontId="5" fillId="0" borderId="10" xfId="31" applyFont="1" applyFill="1" applyBorder="1" applyAlignment="1">
      <alignment horizontal="left"/>
      <protection/>
    </xf>
    <xf numFmtId="0" fontId="5" fillId="0" borderId="19" xfId="31" applyFont="1" applyFill="1" applyBorder="1" applyAlignment="1">
      <alignment horizontal="left"/>
      <protection/>
    </xf>
    <xf numFmtId="0" fontId="5" fillId="0" borderId="11" xfId="31" applyFont="1" applyFill="1" applyBorder="1" applyAlignment="1">
      <alignment horizontal="left"/>
      <protection/>
    </xf>
    <xf numFmtId="0" fontId="5" fillId="0" borderId="6" xfId="31" applyFont="1" applyFill="1" applyBorder="1" applyAlignment="1">
      <alignment horizontal="left"/>
      <protection/>
    </xf>
    <xf numFmtId="0" fontId="5" fillId="0" borderId="20" xfId="31" applyFont="1" applyFill="1" applyBorder="1" applyAlignment="1">
      <alignment horizontal="left"/>
      <protection/>
    </xf>
    <xf numFmtId="0" fontId="5" fillId="0" borderId="25" xfId="31" applyFont="1" applyFill="1" applyBorder="1" applyAlignment="1">
      <alignment horizontal="right"/>
      <protection/>
    </xf>
    <xf numFmtId="0" fontId="5" fillId="0" borderId="9" xfId="31" applyFont="1" applyFill="1" applyBorder="1" applyAlignment="1">
      <alignment horizontal="right"/>
      <protection/>
    </xf>
    <xf numFmtId="0" fontId="5" fillId="0" borderId="7" xfId="31" applyFont="1" applyFill="1" applyBorder="1" applyAlignment="1">
      <alignment horizontal="right"/>
      <protection/>
    </xf>
    <xf numFmtId="0" fontId="5" fillId="0" borderId="18" xfId="31" applyFont="1" applyFill="1" applyBorder="1" applyAlignment="1">
      <alignment horizontal="right"/>
      <protection/>
    </xf>
    <xf numFmtId="0" fontId="0" fillId="0" borderId="11" xfId="0" applyBorder="1" applyAlignment="1">
      <alignment horizontal="left"/>
    </xf>
    <xf numFmtId="165" fontId="5" fillId="0" borderId="19" xfId="31" applyNumberFormat="1" applyFont="1" applyFill="1" applyBorder="1" applyAlignment="1">
      <alignment horizontal="right"/>
      <protection/>
    </xf>
    <xf numFmtId="165" fontId="5" fillId="0" borderId="11" xfId="31" applyNumberFormat="1" applyFont="1" applyFill="1" applyBorder="1" applyAlignment="1">
      <alignment horizontal="right"/>
      <protection/>
    </xf>
    <xf numFmtId="165" fontId="5" fillId="0" borderId="6" xfId="31" applyNumberFormat="1" applyFont="1" applyFill="1" applyBorder="1" applyAlignment="1">
      <alignment horizontal="right"/>
      <protection/>
    </xf>
    <xf numFmtId="0" fontId="5" fillId="0" borderId="24" xfId="29" applyFont="1" applyFill="1" applyBorder="1" applyAlignment="1">
      <alignment horizontal="right"/>
      <protection/>
    </xf>
    <xf numFmtId="0" fontId="5" fillId="0" borderId="26" xfId="29" applyFont="1" applyFill="1" applyBorder="1" applyAlignment="1">
      <alignment horizontal="left"/>
      <protection/>
    </xf>
    <xf numFmtId="0" fontId="5" fillId="0" borderId="27" xfId="29" applyFont="1" applyFill="1" applyBorder="1" applyAlignment="1">
      <alignment horizontal="right"/>
      <protection/>
    </xf>
    <xf numFmtId="0" fontId="5" fillId="0" borderId="27" xfId="29" applyFont="1" applyFill="1" applyBorder="1" applyAlignment="1">
      <alignment horizontal="left"/>
      <protection/>
    </xf>
    <xf numFmtId="2" fontId="5" fillId="0" borderId="27" xfId="29" applyNumberFormat="1" applyFont="1" applyFill="1" applyBorder="1" applyAlignment="1">
      <alignment horizontal="right"/>
      <protection/>
    </xf>
    <xf numFmtId="0" fontId="5" fillId="0" borderId="28" xfId="29" applyFont="1" applyFill="1" applyBorder="1" applyAlignment="1">
      <alignment horizontal="left"/>
      <protection/>
    </xf>
    <xf numFmtId="0" fontId="5" fillId="0" borderId="29" xfId="29" applyFont="1" applyFill="1" applyBorder="1" applyAlignment="1">
      <alignment horizontal="right"/>
      <protection/>
    </xf>
    <xf numFmtId="0" fontId="5" fillId="0" borderId="26" xfId="29" applyFont="1" applyFill="1" applyBorder="1" applyAlignment="1">
      <alignment horizontal="right"/>
      <protection/>
    </xf>
    <xf numFmtId="0" fontId="5" fillId="0" borderId="30" xfId="29" applyFont="1" applyFill="1" applyBorder="1" applyAlignment="1">
      <alignment horizontal="right"/>
      <protection/>
    </xf>
    <xf numFmtId="0" fontId="5" fillId="0" borderId="28" xfId="29" applyFont="1" applyFill="1" applyBorder="1" applyAlignment="1">
      <alignment horizontal="right"/>
      <protection/>
    </xf>
    <xf numFmtId="0" fontId="5" fillId="0" borderId="8" xfId="25" applyFont="1" applyFill="1" applyBorder="1" applyAlignment="1">
      <alignment horizontal="left"/>
      <protection/>
    </xf>
    <xf numFmtId="0" fontId="5" fillId="0" borderId="8" xfId="25" applyFont="1" applyFill="1" applyBorder="1" applyAlignment="1">
      <alignment horizontal="right"/>
      <protection/>
    </xf>
    <xf numFmtId="2" fontId="5" fillId="0" borderId="8" xfId="25" applyNumberFormat="1" applyFont="1" applyFill="1" applyBorder="1" applyAlignment="1">
      <alignment horizontal="right"/>
      <protection/>
    </xf>
    <xf numFmtId="0" fontId="5" fillId="0" borderId="18" xfId="25" applyFont="1" applyFill="1" applyBorder="1" applyAlignment="1">
      <alignment horizontal="left"/>
      <protection/>
    </xf>
    <xf numFmtId="0" fontId="5" fillId="0" borderId="10" xfId="25" applyFont="1" applyFill="1" applyBorder="1" applyAlignment="1">
      <alignment horizontal="right"/>
      <protection/>
    </xf>
    <xf numFmtId="0" fontId="5" fillId="0" borderId="10" xfId="25" applyFont="1" applyFill="1" applyBorder="1" applyAlignment="1">
      <alignment horizontal="left"/>
      <protection/>
    </xf>
    <xf numFmtId="2" fontId="5" fillId="0" borderId="10" xfId="25" applyNumberFormat="1" applyFont="1" applyFill="1" applyBorder="1" applyAlignment="1">
      <alignment horizontal="right"/>
      <protection/>
    </xf>
    <xf numFmtId="0" fontId="5" fillId="0" borderId="19" xfId="25" applyFont="1" applyFill="1" applyBorder="1" applyAlignment="1">
      <alignment horizontal="left"/>
      <protection/>
    </xf>
    <xf numFmtId="0" fontId="5" fillId="0" borderId="12" xfId="25" applyFont="1" applyFill="1" applyBorder="1" applyAlignment="1">
      <alignment horizontal="left"/>
      <protection/>
    </xf>
    <xf numFmtId="0" fontId="5" fillId="0" borderId="11" xfId="25" applyFont="1" applyFill="1" applyBorder="1" applyAlignment="1">
      <alignment horizontal="left"/>
      <protection/>
    </xf>
    <xf numFmtId="0" fontId="5" fillId="0" borderId="13" xfId="25" applyFont="1" applyFill="1" applyBorder="1" applyAlignment="1">
      <alignment horizontal="left"/>
      <protection/>
    </xf>
    <xf numFmtId="0" fontId="5" fillId="0" borderId="5" xfId="25" applyFont="1" applyFill="1" applyBorder="1" applyAlignment="1">
      <alignment horizontal="right"/>
      <protection/>
    </xf>
    <xf numFmtId="0" fontId="5" fillId="0" borderId="5" xfId="25" applyFont="1" applyFill="1" applyBorder="1" applyAlignment="1">
      <alignment horizontal="left"/>
      <protection/>
    </xf>
    <xf numFmtId="2" fontId="5" fillId="0" borderId="5" xfId="25" applyNumberFormat="1" applyFont="1" applyFill="1" applyBorder="1" applyAlignment="1">
      <alignment horizontal="right"/>
      <protection/>
    </xf>
    <xf numFmtId="0" fontId="5" fillId="0" borderId="6" xfId="25" applyFont="1" applyFill="1" applyBorder="1" applyAlignment="1">
      <alignment horizontal="left"/>
      <protection/>
    </xf>
    <xf numFmtId="0" fontId="5" fillId="0" borderId="19" xfId="25" applyFont="1" applyFill="1" applyBorder="1" applyAlignment="1">
      <alignment horizontal="right"/>
      <protection/>
    </xf>
    <xf numFmtId="0" fontId="5" fillId="0" borderId="11" xfId="25" applyFont="1" applyFill="1" applyBorder="1" applyAlignment="1">
      <alignment horizontal="right"/>
      <protection/>
    </xf>
    <xf numFmtId="0" fontId="5" fillId="0" borderId="6" xfId="25" applyFont="1" applyFill="1" applyBorder="1" applyAlignment="1">
      <alignment horizontal="right"/>
      <protection/>
    </xf>
    <xf numFmtId="0" fontId="5" fillId="0" borderId="18" xfId="25" applyFont="1" applyFill="1" applyBorder="1" applyAlignment="1">
      <alignment horizontal="right"/>
      <protection/>
    </xf>
    <xf numFmtId="0" fontId="5" fillId="0" borderId="12" xfId="25" applyFont="1" applyFill="1" applyBorder="1" applyAlignment="1">
      <alignment horizontal="right"/>
      <protection/>
    </xf>
    <xf numFmtId="0" fontId="5" fillId="0" borderId="13" xfId="25" applyFont="1" applyFill="1" applyBorder="1" applyAlignment="1">
      <alignment horizontal="right"/>
      <protection/>
    </xf>
    <xf numFmtId="2" fontId="5" fillId="0" borderId="8" xfId="32" applyNumberFormat="1" applyFont="1" applyFill="1" applyBorder="1" applyAlignment="1">
      <alignment horizontal="right"/>
      <protection/>
    </xf>
    <xf numFmtId="2" fontId="5" fillId="0" borderId="10" xfId="32" applyNumberFormat="1" applyFont="1" applyFill="1" applyBorder="1" applyAlignment="1">
      <alignment horizontal="right"/>
      <protection/>
    </xf>
    <xf numFmtId="2" fontId="5" fillId="0" borderId="5" xfId="32" applyNumberFormat="1" applyFont="1" applyFill="1" applyBorder="1" applyAlignment="1">
      <alignment horizontal="right"/>
      <protection/>
    </xf>
    <xf numFmtId="0" fontId="5" fillId="0" borderId="21" xfId="32" applyFont="1" applyFill="1" applyBorder="1" applyAlignment="1">
      <alignment horizontal="left"/>
      <protection/>
    </xf>
    <xf numFmtId="0" fontId="5" fillId="0" borderId="22" xfId="32" applyFont="1" applyFill="1" applyBorder="1" applyAlignment="1">
      <alignment horizontal="left"/>
      <protection/>
    </xf>
    <xf numFmtId="0" fontId="5" fillId="0" borderId="23" xfId="32" applyFont="1" applyFill="1" applyBorder="1" applyAlignment="1">
      <alignment horizontal="left"/>
      <protection/>
    </xf>
    <xf numFmtId="0" fontId="5" fillId="0" borderId="8" xfId="34" applyFont="1" applyFill="1" applyBorder="1" applyAlignment="1">
      <alignment horizontal="left"/>
      <protection/>
    </xf>
    <xf numFmtId="0" fontId="5" fillId="0" borderId="8" xfId="34" applyFont="1" applyFill="1" applyBorder="1" applyAlignment="1">
      <alignment horizontal="right"/>
      <protection/>
    </xf>
    <xf numFmtId="0" fontId="5" fillId="0" borderId="12" xfId="34" applyFont="1" applyFill="1" applyBorder="1" applyAlignment="1">
      <alignment horizontal="left"/>
      <protection/>
    </xf>
    <xf numFmtId="0" fontId="5" fillId="0" borderId="13" xfId="34" applyFont="1" applyFill="1" applyBorder="1" applyAlignment="1">
      <alignment horizontal="left"/>
      <protection/>
    </xf>
    <xf numFmtId="0" fontId="5" fillId="0" borderId="5" xfId="34" applyFont="1" applyFill="1" applyBorder="1" applyAlignment="1">
      <alignment horizontal="right"/>
      <protection/>
    </xf>
    <xf numFmtId="0" fontId="5" fillId="0" borderId="5" xfId="34" applyFont="1" applyFill="1" applyBorder="1" applyAlignment="1">
      <alignment horizontal="left"/>
      <protection/>
    </xf>
    <xf numFmtId="165" fontId="5" fillId="0" borderId="8" xfId="34" applyNumberFormat="1" applyFont="1" applyFill="1" applyBorder="1" applyAlignment="1">
      <alignment horizontal="right"/>
      <protection/>
    </xf>
    <xf numFmtId="165" fontId="5" fillId="0" borderId="5" xfId="34" applyNumberFormat="1" applyFont="1" applyFill="1" applyBorder="1" applyAlignment="1">
      <alignment horizontal="right"/>
      <protection/>
    </xf>
    <xf numFmtId="0" fontId="5" fillId="0" borderId="24" xfId="23" applyFont="1" applyFill="1" applyBorder="1" applyAlignment="1">
      <alignment horizontal="right"/>
      <protection/>
    </xf>
    <xf numFmtId="0" fontId="5" fillId="0" borderId="10" xfId="23" applyFont="1" applyFill="1" applyBorder="1" applyAlignment="1">
      <alignment horizontal="right"/>
      <protection/>
    </xf>
    <xf numFmtId="0" fontId="5" fillId="0" borderId="10" xfId="23" applyFont="1" applyFill="1" applyBorder="1" applyAlignment="1">
      <alignment horizontal="left"/>
      <protection/>
    </xf>
    <xf numFmtId="0" fontId="5" fillId="0" borderId="19" xfId="23" applyFont="1" applyFill="1" applyBorder="1" applyAlignment="1">
      <alignment horizontal="left"/>
      <protection/>
    </xf>
    <xf numFmtId="0" fontId="5" fillId="0" borderId="5" xfId="23" applyFont="1" applyFill="1" applyBorder="1" applyAlignment="1">
      <alignment horizontal="right"/>
      <protection/>
    </xf>
    <xf numFmtId="0" fontId="5" fillId="0" borderId="5" xfId="23" applyFont="1" applyFill="1" applyBorder="1" applyAlignment="1">
      <alignment horizontal="left"/>
      <protection/>
    </xf>
    <xf numFmtId="0" fontId="5" fillId="0" borderId="6" xfId="23" applyFont="1" applyFill="1" applyBorder="1" applyAlignment="1">
      <alignment horizontal="left"/>
      <protection/>
    </xf>
    <xf numFmtId="0" fontId="5" fillId="0" borderId="19" xfId="23" applyFont="1" applyFill="1" applyBorder="1" applyAlignment="1">
      <alignment horizontal="right"/>
      <protection/>
    </xf>
    <xf numFmtId="0" fontId="5" fillId="0" borderId="6" xfId="23" applyFont="1" applyFill="1" applyBorder="1" applyAlignment="1">
      <alignment horizontal="right"/>
      <protection/>
    </xf>
    <xf numFmtId="0" fontId="5" fillId="0" borderId="13" xfId="23" applyFont="1" applyFill="1" applyBorder="1" applyAlignment="1">
      <alignment horizontal="right"/>
      <protection/>
    </xf>
    <xf numFmtId="0" fontId="5" fillId="0" borderId="18" xfId="23" applyFont="1" applyFill="1" applyBorder="1" applyAlignment="1">
      <alignment horizontal="right"/>
      <protection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1" xfId="0" applyBorder="1" applyAlignment="1">
      <alignment/>
    </xf>
    <xf numFmtId="165" fontId="1" fillId="0" borderId="31" xfId="0" applyNumberFormat="1" applyFont="1" applyBorder="1" applyAlignment="1">
      <alignment/>
    </xf>
    <xf numFmtId="0" fontId="5" fillId="0" borderId="33" xfId="29" applyFont="1" applyFill="1" applyBorder="1" applyAlignment="1">
      <alignment horizontal="left"/>
      <protection/>
    </xf>
    <xf numFmtId="0" fontId="5" fillId="0" borderId="34" xfId="29" applyFont="1" applyFill="1" applyBorder="1" applyAlignment="1">
      <alignment horizontal="left"/>
      <protection/>
    </xf>
    <xf numFmtId="0" fontId="0" fillId="0" borderId="8" xfId="0" applyFont="1" applyFill="1" applyBorder="1" applyAlignment="1">
      <alignment/>
    </xf>
    <xf numFmtId="0" fontId="5" fillId="0" borderId="35" xfId="29" applyFont="1" applyFill="1" applyBorder="1" applyAlignment="1">
      <alignment horizontal="right"/>
      <protection/>
    </xf>
    <xf numFmtId="0" fontId="5" fillId="0" borderId="36" xfId="29" applyFont="1" applyFill="1" applyBorder="1" applyAlignment="1">
      <alignment horizontal="right"/>
      <protection/>
    </xf>
    <xf numFmtId="0" fontId="5" fillId="0" borderId="37" xfId="29" applyFont="1" applyFill="1" applyBorder="1" applyAlignment="1">
      <alignment horizontal="right"/>
      <protection/>
    </xf>
    <xf numFmtId="0" fontId="5" fillId="0" borderId="38" xfId="29" applyFont="1" applyFill="1" applyBorder="1" applyAlignment="1">
      <alignment horizontal="right"/>
      <protection/>
    </xf>
    <xf numFmtId="0" fontId="5" fillId="0" borderId="39" xfId="29" applyFont="1" applyFill="1" applyBorder="1" applyAlignment="1">
      <alignment horizontal="left"/>
      <protection/>
    </xf>
    <xf numFmtId="0" fontId="5" fillId="0" borderId="40" xfId="29" applyFont="1" applyFill="1" applyBorder="1" applyAlignment="1">
      <alignment horizontal="left"/>
      <protection/>
    </xf>
    <xf numFmtId="0" fontId="5" fillId="0" borderId="41" xfId="29" applyFont="1" applyFill="1" applyBorder="1" applyAlignment="1">
      <alignment horizontal="left"/>
      <protection/>
    </xf>
    <xf numFmtId="0" fontId="5" fillId="0" borderId="42" xfId="29" applyFont="1" applyFill="1" applyBorder="1" applyAlignment="1">
      <alignment horizontal="right"/>
      <protection/>
    </xf>
    <xf numFmtId="0" fontId="5" fillId="0" borderId="43" xfId="29" applyFont="1" applyFill="1" applyBorder="1" applyAlignment="1">
      <alignment horizontal="right"/>
      <protection/>
    </xf>
    <xf numFmtId="0" fontId="5" fillId="0" borderId="44" xfId="29" applyFont="1" applyFill="1" applyBorder="1" applyAlignment="1">
      <alignment horizontal="right"/>
      <protection/>
    </xf>
    <xf numFmtId="0" fontId="5" fillId="0" borderId="35" xfId="29" applyFont="1" applyFill="1" applyBorder="1" applyAlignment="1">
      <alignment horizontal="left"/>
      <protection/>
    </xf>
    <xf numFmtId="0" fontId="5" fillId="0" borderId="36" xfId="29" applyFont="1" applyFill="1" applyBorder="1" applyAlignment="1">
      <alignment horizontal="left"/>
      <protection/>
    </xf>
    <xf numFmtId="0" fontId="5" fillId="0" borderId="38" xfId="29" applyFont="1" applyFill="1" applyBorder="1" applyAlignment="1">
      <alignment horizontal="left"/>
      <protection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4" fontId="5" fillId="0" borderId="35" xfId="29" applyNumberFormat="1" applyFont="1" applyFill="1" applyBorder="1" applyAlignment="1">
      <alignment horizontal="right"/>
      <protection/>
    </xf>
    <xf numFmtId="2" fontId="5" fillId="0" borderId="36" xfId="29" applyNumberFormat="1" applyFont="1" applyFill="1" applyBorder="1" applyAlignment="1">
      <alignment horizontal="right"/>
      <protection/>
    </xf>
    <xf numFmtId="4" fontId="5" fillId="0" borderId="36" xfId="29" applyNumberFormat="1" applyFont="1" applyFill="1" applyBorder="1" applyAlignment="1">
      <alignment horizontal="right"/>
      <protection/>
    </xf>
    <xf numFmtId="4" fontId="5" fillId="0" borderId="38" xfId="29" applyNumberFormat="1" applyFont="1" applyFill="1" applyBorder="1" applyAlignment="1">
      <alignment horizontal="right"/>
      <protection/>
    </xf>
    <xf numFmtId="2" fontId="5" fillId="0" borderId="35" xfId="29" applyNumberFormat="1" applyFont="1" applyFill="1" applyBorder="1" applyAlignment="1">
      <alignment horizontal="right"/>
      <protection/>
    </xf>
    <xf numFmtId="2" fontId="5" fillId="0" borderId="38" xfId="29" applyNumberFormat="1" applyFont="1" applyFill="1" applyBorder="1" applyAlignment="1">
      <alignment horizontal="right"/>
      <protection/>
    </xf>
    <xf numFmtId="0" fontId="0" fillId="0" borderId="37" xfId="0" applyBorder="1" applyAlignment="1">
      <alignment/>
    </xf>
    <xf numFmtId="164" fontId="5" fillId="0" borderId="35" xfId="29" applyNumberFormat="1" applyFont="1" applyFill="1" applyBorder="1" applyAlignment="1">
      <alignment horizontal="right"/>
      <protection/>
    </xf>
    <xf numFmtId="164" fontId="5" fillId="0" borderId="36" xfId="29" applyNumberFormat="1" applyFont="1" applyFill="1" applyBorder="1" applyAlignment="1">
      <alignment horizontal="right"/>
      <protection/>
    </xf>
    <xf numFmtId="164" fontId="5" fillId="0" borderId="37" xfId="29" applyNumberFormat="1" applyFont="1" applyFill="1" applyBorder="1" applyAlignment="1">
      <alignment horizontal="right"/>
      <protection/>
    </xf>
    <xf numFmtId="0" fontId="5" fillId="0" borderId="45" xfId="29" applyFont="1" applyFill="1" applyBorder="1" applyAlignment="1">
      <alignment horizontal="left"/>
      <protection/>
    </xf>
    <xf numFmtId="0" fontId="5" fillId="0" borderId="46" xfId="29" applyFont="1" applyFill="1" applyBorder="1" applyAlignment="1">
      <alignment horizontal="left"/>
      <protection/>
    </xf>
    <xf numFmtId="0" fontId="5" fillId="0" borderId="47" xfId="29" applyFont="1" applyFill="1" applyBorder="1" applyAlignment="1">
      <alignment horizontal="left"/>
      <protection/>
    </xf>
    <xf numFmtId="0" fontId="5" fillId="0" borderId="37" xfId="29" applyFont="1" applyFill="1" applyBorder="1" applyAlignment="1">
      <alignment horizontal="left"/>
      <protection/>
    </xf>
    <xf numFmtId="0" fontId="5" fillId="0" borderId="18" xfId="23" applyFont="1" applyFill="1" applyBorder="1" applyAlignment="1">
      <alignment horizontal="left"/>
      <protection/>
    </xf>
    <xf numFmtId="0" fontId="5" fillId="0" borderId="13" xfId="23" applyFont="1" applyFill="1" applyBorder="1" applyAlignment="1">
      <alignment horizontal="left"/>
      <protection/>
    </xf>
    <xf numFmtId="0" fontId="0" fillId="0" borderId="8" xfId="0" applyBorder="1" applyAlignment="1">
      <alignment horizontal="center" vertical="top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19" applyFont="1" applyFill="1" applyBorder="1" applyAlignment="1">
      <alignment horizontal="center"/>
      <protection/>
    </xf>
    <xf numFmtId="0" fontId="5" fillId="0" borderId="0" xfId="19" applyFont="1" applyFill="1" applyBorder="1" applyAlignment="1">
      <alignment horizontal="left"/>
      <protection/>
    </xf>
    <xf numFmtId="0" fontId="5" fillId="0" borderId="0" xfId="19" applyFont="1" applyFill="1" applyBorder="1" applyAlignment="1">
      <alignment horizontal="right"/>
      <protection/>
    </xf>
    <xf numFmtId="0" fontId="0" fillId="0" borderId="2" xfId="0" applyBorder="1" applyAlignment="1">
      <alignment/>
    </xf>
    <xf numFmtId="0" fontId="1" fillId="0" borderId="48" xfId="0" applyFont="1" applyBorder="1" applyAlignment="1">
      <alignment/>
    </xf>
    <xf numFmtId="4" fontId="5" fillId="0" borderId="8" xfId="30" applyNumberFormat="1" applyFont="1" applyFill="1" applyBorder="1" applyAlignment="1">
      <alignment horizontal="right"/>
      <protection/>
    </xf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/>
    </xf>
    <xf numFmtId="165" fontId="5" fillId="0" borderId="8" xfId="30" applyNumberFormat="1" applyFont="1" applyFill="1" applyBorder="1" applyAlignment="1">
      <alignment horizontal="right"/>
      <protection/>
    </xf>
    <xf numFmtId="165" fontId="0" fillId="0" borderId="8" xfId="0" applyNumberFormat="1" applyBorder="1" applyAlignment="1">
      <alignment/>
    </xf>
    <xf numFmtId="165" fontId="10" fillId="0" borderId="48" xfId="30" applyNumberFormat="1" applyFont="1" applyFill="1" applyBorder="1" applyAlignment="1">
      <alignment horizontal="center"/>
      <protection/>
    </xf>
    <xf numFmtId="165" fontId="0" fillId="0" borderId="8" xfId="0" applyNumberFormat="1" applyBorder="1" applyAlignment="1">
      <alignment horizontal="right" vertical="top"/>
    </xf>
    <xf numFmtId="0" fontId="1" fillId="0" borderId="48" xfId="0" applyFont="1" applyBorder="1" applyAlignment="1">
      <alignment/>
    </xf>
    <xf numFmtId="2" fontId="1" fillId="0" borderId="48" xfId="0" applyNumberFormat="1" applyFont="1" applyBorder="1" applyAlignment="1">
      <alignment/>
    </xf>
    <xf numFmtId="0" fontId="5" fillId="0" borderId="49" xfId="32" applyFont="1" applyFill="1" applyBorder="1" applyAlignment="1">
      <alignment horizontal="left"/>
      <protection/>
    </xf>
    <xf numFmtId="0" fontId="5" fillId="0" borderId="49" xfId="32" applyFont="1" applyFill="1" applyBorder="1" applyAlignment="1">
      <alignment horizontal="right"/>
      <protection/>
    </xf>
    <xf numFmtId="0" fontId="5" fillId="0" borderId="49" xfId="32" applyFont="1" applyFill="1" applyBorder="1" applyAlignment="1">
      <alignment horizontal="left" wrapText="1"/>
      <protection/>
    </xf>
    <xf numFmtId="0" fontId="5" fillId="0" borderId="49" xfId="32" applyFont="1" applyFill="1" applyBorder="1" applyAlignment="1">
      <alignment horizontal="right" wrapText="1"/>
      <protection/>
    </xf>
    <xf numFmtId="0" fontId="0" fillId="0" borderId="49" xfId="0" applyBorder="1" applyAlignment="1">
      <alignment/>
    </xf>
    <xf numFmtId="2" fontId="5" fillId="0" borderId="49" xfId="32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31" applyFont="1" applyFill="1" applyBorder="1" applyAlignment="1">
      <alignment horizontal="left"/>
      <protection/>
    </xf>
    <xf numFmtId="0" fontId="5" fillId="0" borderId="0" xfId="31" applyFont="1" applyFill="1" applyBorder="1" applyAlignment="1">
      <alignment horizontal="left"/>
      <protection/>
    </xf>
    <xf numFmtId="2" fontId="1" fillId="0" borderId="0" xfId="0" applyNumberFormat="1" applyFont="1" applyBorder="1" applyAlignment="1">
      <alignment/>
    </xf>
    <xf numFmtId="167" fontId="11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Border="1" applyAlignment="1">
      <alignment/>
    </xf>
    <xf numFmtId="0" fontId="5" fillId="0" borderId="18" xfId="29" applyFont="1" applyFill="1" applyBorder="1" applyAlignment="1">
      <alignment horizontal="left"/>
      <protection/>
    </xf>
    <xf numFmtId="0" fontId="5" fillId="0" borderId="10" xfId="29" applyFont="1" applyFill="1" applyBorder="1" applyAlignment="1">
      <alignment horizontal="right"/>
      <protection/>
    </xf>
    <xf numFmtId="0" fontId="5" fillId="0" borderId="10" xfId="29" applyFont="1" applyFill="1" applyBorder="1" applyAlignment="1">
      <alignment horizontal="left"/>
      <protection/>
    </xf>
    <xf numFmtId="2" fontId="5" fillId="0" borderId="10" xfId="29" applyNumberFormat="1" applyFont="1" applyFill="1" applyBorder="1" applyAlignment="1">
      <alignment horizontal="right"/>
      <protection/>
    </xf>
    <xf numFmtId="0" fontId="5" fillId="0" borderId="19" xfId="29" applyFont="1" applyFill="1" applyBorder="1" applyAlignment="1">
      <alignment horizontal="left"/>
      <protection/>
    </xf>
    <xf numFmtId="0" fontId="5" fillId="0" borderId="12" xfId="29" applyFont="1" applyFill="1" applyBorder="1" applyAlignment="1">
      <alignment horizontal="left"/>
      <protection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/>
    </xf>
    <xf numFmtId="10" fontId="5" fillId="0" borderId="8" xfId="29" applyNumberFormat="1" applyFont="1" applyFill="1" applyBorder="1" applyAlignment="1">
      <alignment horizontal="left"/>
      <protection/>
    </xf>
    <xf numFmtId="2" fontId="1" fillId="0" borderId="32" xfId="0" applyNumberFormat="1" applyFont="1" applyBorder="1" applyAlignment="1">
      <alignment/>
    </xf>
    <xf numFmtId="165" fontId="10" fillId="0" borderId="48" xfId="21" applyNumberFormat="1" applyFont="1" applyFill="1" applyBorder="1" applyAlignment="1">
      <alignment horizontal="right"/>
      <protection/>
    </xf>
    <xf numFmtId="10" fontId="1" fillId="0" borderId="48" xfId="0" applyNumberFormat="1" applyFont="1" applyBorder="1" applyAlignment="1">
      <alignment/>
    </xf>
    <xf numFmtId="0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10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5" fillId="0" borderId="3" xfId="32" applyFont="1" applyFill="1" applyBorder="1" applyAlignment="1">
      <alignment horizontal="right"/>
      <protection/>
    </xf>
    <xf numFmtId="0" fontId="5" fillId="0" borderId="2" xfId="32" applyFont="1" applyFill="1" applyBorder="1" applyAlignment="1">
      <alignment horizontal="left"/>
      <protection/>
    </xf>
    <xf numFmtId="0" fontId="5" fillId="0" borderId="2" xfId="32" applyFont="1" applyFill="1" applyBorder="1" applyAlignment="1">
      <alignment horizontal="right"/>
      <protection/>
    </xf>
    <xf numFmtId="0" fontId="5" fillId="0" borderId="4" xfId="32" applyFont="1" applyFill="1" applyBorder="1" applyAlignment="1">
      <alignment horizontal="right"/>
      <protection/>
    </xf>
    <xf numFmtId="165" fontId="5" fillId="0" borderId="2" xfId="32" applyNumberFormat="1" applyFont="1" applyFill="1" applyBorder="1" applyAlignment="1">
      <alignment horizontal="right"/>
      <protection/>
    </xf>
    <xf numFmtId="0" fontId="5" fillId="0" borderId="4" xfId="32" applyFont="1" applyFill="1" applyBorder="1" applyAlignment="1">
      <alignment horizontal="left"/>
      <protection/>
    </xf>
    <xf numFmtId="0" fontId="5" fillId="0" borderId="50" xfId="32" applyFont="1" applyFill="1" applyBorder="1" applyAlignment="1">
      <alignment horizontal="left"/>
      <protection/>
    </xf>
    <xf numFmtId="165" fontId="5" fillId="0" borderId="10" xfId="31" applyNumberFormat="1" applyFont="1" applyFill="1" applyBorder="1" applyAlignment="1">
      <alignment horizontal="right"/>
      <protection/>
    </xf>
    <xf numFmtId="0" fontId="5" fillId="0" borderId="3" xfId="31" applyNumberFormat="1" applyFont="1" applyFill="1" applyBorder="1" applyAlignment="1">
      <alignment horizontal="left"/>
      <protection/>
    </xf>
    <xf numFmtId="0" fontId="5" fillId="0" borderId="2" xfId="31" applyNumberFormat="1" applyFont="1" applyFill="1" applyBorder="1" applyAlignment="1">
      <alignment horizontal="right"/>
      <protection/>
    </xf>
    <xf numFmtId="0" fontId="5" fillId="0" borderId="2" xfId="31" applyNumberFormat="1" applyFont="1" applyFill="1" applyBorder="1" applyAlignment="1">
      <alignment horizontal="left"/>
      <protection/>
    </xf>
    <xf numFmtId="0" fontId="5" fillId="0" borderId="4" xfId="31" applyNumberFormat="1" applyFont="1" applyFill="1" applyBorder="1" applyAlignment="1">
      <alignment horizontal="right"/>
      <protection/>
    </xf>
    <xf numFmtId="0" fontId="5" fillId="0" borderId="3" xfId="31" applyNumberFormat="1" applyFont="1" applyFill="1" applyBorder="1" applyAlignment="1">
      <alignment horizontal="right"/>
      <protection/>
    </xf>
    <xf numFmtId="165" fontId="5" fillId="0" borderId="2" xfId="31" applyNumberFormat="1" applyFont="1" applyFill="1" applyBorder="1" applyAlignment="1">
      <alignment horizontal="right"/>
      <protection/>
    </xf>
    <xf numFmtId="0" fontId="5" fillId="0" borderId="4" xfId="31" applyNumberFormat="1" applyFont="1" applyFill="1" applyBorder="1" applyAlignment="1">
      <alignment horizontal="left"/>
      <protection/>
    </xf>
    <xf numFmtId="165" fontId="1" fillId="0" borderId="48" xfId="0" applyNumberFormat="1" applyFont="1" applyBorder="1" applyAlignment="1">
      <alignment/>
    </xf>
    <xf numFmtId="49" fontId="5" fillId="0" borderId="5" xfId="31" applyNumberFormat="1" applyFont="1" applyFill="1" applyBorder="1" applyAlignment="1">
      <alignment horizontal="left"/>
      <protection/>
    </xf>
    <xf numFmtId="165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5" fillId="0" borderId="51" xfId="31" applyFont="1" applyFill="1" applyBorder="1" applyAlignment="1">
      <alignment horizontal="left"/>
      <protection/>
    </xf>
    <xf numFmtId="0" fontId="5" fillId="0" borderId="3" xfId="31" applyFont="1" applyFill="1" applyBorder="1" applyAlignment="1">
      <alignment horizontal="right"/>
      <protection/>
    </xf>
    <xf numFmtId="0" fontId="5" fillId="0" borderId="2" xfId="31" applyFont="1" applyFill="1" applyBorder="1" applyAlignment="1">
      <alignment horizontal="left"/>
      <protection/>
    </xf>
    <xf numFmtId="0" fontId="5" fillId="0" borderId="2" xfId="31" applyFont="1" applyFill="1" applyBorder="1" applyAlignment="1">
      <alignment horizontal="right"/>
      <protection/>
    </xf>
    <xf numFmtId="0" fontId="0" fillId="0" borderId="4" xfId="0" applyBorder="1" applyAlignment="1">
      <alignment horizontal="left"/>
    </xf>
    <xf numFmtId="0" fontId="5" fillId="0" borderId="17" xfId="31" applyFont="1" applyFill="1" applyBorder="1" applyAlignment="1">
      <alignment horizontal="right"/>
      <protection/>
    </xf>
    <xf numFmtId="165" fontId="5" fillId="0" borderId="4" xfId="31" applyNumberFormat="1" applyFont="1" applyFill="1" applyBorder="1" applyAlignment="1">
      <alignment horizontal="right"/>
      <protection/>
    </xf>
    <xf numFmtId="0" fontId="5" fillId="0" borderId="4" xfId="31" applyFont="1" applyFill="1" applyBorder="1" applyAlignment="1">
      <alignment horizontal="left"/>
      <protection/>
    </xf>
    <xf numFmtId="3" fontId="5" fillId="0" borderId="8" xfId="31" applyNumberFormat="1" applyFont="1" applyFill="1" applyBorder="1" applyAlignment="1">
      <alignment horizontal="right"/>
      <protection/>
    </xf>
    <xf numFmtId="0" fontId="5" fillId="0" borderId="12" xfId="31" applyFont="1" applyFill="1" applyBorder="1" applyAlignment="1">
      <alignment horizontal="left"/>
      <protection/>
    </xf>
    <xf numFmtId="0" fontId="5" fillId="0" borderId="13" xfId="3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5" fillId="0" borderId="11" xfId="34" applyFont="1" applyFill="1" applyBorder="1" applyAlignment="1">
      <alignment horizontal="left"/>
      <protection/>
    </xf>
    <xf numFmtId="0" fontId="5" fillId="0" borderId="6" xfId="34" applyFont="1" applyFill="1" applyBorder="1" applyAlignment="1">
      <alignment horizontal="left"/>
      <protection/>
    </xf>
    <xf numFmtId="0" fontId="5" fillId="0" borderId="1" xfId="20" applyFont="1" applyFill="1" applyBorder="1" applyAlignment="1">
      <alignment horizontal="right"/>
      <protection/>
    </xf>
    <xf numFmtId="0" fontId="5" fillId="0" borderId="1" xfId="20" applyFont="1" applyFill="1" applyBorder="1" applyAlignment="1">
      <alignment horizontal="left"/>
      <protection/>
    </xf>
    <xf numFmtId="0" fontId="5" fillId="0" borderId="1" xfId="35" applyFont="1" applyFill="1" applyBorder="1" applyAlignment="1">
      <alignment horizontal="right"/>
      <protection/>
    </xf>
    <xf numFmtId="0" fontId="5" fillId="0" borderId="1" xfId="35" applyFont="1" applyFill="1" applyBorder="1" applyAlignment="1">
      <alignment horizontal="left"/>
      <protection/>
    </xf>
    <xf numFmtId="0" fontId="5" fillId="0" borderId="8" xfId="20" applyFont="1" applyFill="1" applyBorder="1" applyAlignment="1">
      <alignment horizontal="left"/>
      <protection/>
    </xf>
    <xf numFmtId="0" fontId="5" fillId="0" borderId="8" xfId="20" applyFont="1" applyFill="1" applyBorder="1" applyAlignment="1">
      <alignment horizontal="right"/>
      <protection/>
    </xf>
    <xf numFmtId="0" fontId="1" fillId="0" borderId="32" xfId="0" applyFont="1" applyBorder="1" applyAlignment="1">
      <alignment/>
    </xf>
    <xf numFmtId="165" fontId="1" fillId="0" borderId="32" xfId="0" applyNumberFormat="1" applyFont="1" applyBorder="1" applyAlignment="1">
      <alignment/>
    </xf>
    <xf numFmtId="0" fontId="5" fillId="0" borderId="8" xfId="35" applyFont="1" applyFill="1" applyBorder="1" applyAlignment="1">
      <alignment horizontal="left"/>
      <protection/>
    </xf>
    <xf numFmtId="0" fontId="5" fillId="0" borderId="8" xfId="35" applyFont="1" applyFill="1" applyBorder="1" applyAlignment="1">
      <alignment horizontal="right"/>
      <protection/>
    </xf>
    <xf numFmtId="9" fontId="0" fillId="0" borderId="8" xfId="0" applyNumberFormat="1" applyBorder="1" applyAlignment="1">
      <alignment/>
    </xf>
    <xf numFmtId="0" fontId="5" fillId="0" borderId="12" xfId="35" applyFont="1" applyFill="1" applyBorder="1" applyAlignment="1">
      <alignment horizontal="left"/>
      <protection/>
    </xf>
    <xf numFmtId="0" fontId="5" fillId="0" borderId="13" xfId="35" applyFont="1" applyFill="1" applyBorder="1" applyAlignment="1">
      <alignment horizontal="left"/>
      <protection/>
    </xf>
    <xf numFmtId="0" fontId="5" fillId="0" borderId="5" xfId="35" applyFont="1" applyFill="1" applyBorder="1" applyAlignment="1">
      <alignment horizontal="right"/>
      <protection/>
    </xf>
    <xf numFmtId="0" fontId="5" fillId="0" borderId="5" xfId="35" applyFont="1" applyFill="1" applyBorder="1" applyAlignment="1">
      <alignment horizontal="left"/>
      <protection/>
    </xf>
    <xf numFmtId="165" fontId="0" fillId="0" borderId="5" xfId="0" applyNumberFormat="1" applyBorder="1" applyAlignment="1">
      <alignment/>
    </xf>
    <xf numFmtId="165" fontId="1" fillId="0" borderId="31" xfId="0" applyNumberFormat="1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54" xfId="0" applyFont="1" applyBorder="1" applyAlignment="1">
      <alignment horizontal="center"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1" fillId="0" borderId="58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0" fillId="0" borderId="60" xfId="0" applyBorder="1" applyAlignment="1">
      <alignment wrapText="1"/>
    </xf>
    <xf numFmtId="0" fontId="0" fillId="0" borderId="25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0" borderId="8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61" xfId="0" applyNumberFormat="1" applyFont="1" applyBorder="1" applyAlignment="1">
      <alignment horizont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1" fillId="0" borderId="61" xfId="0" applyFont="1" applyBorder="1" applyAlignment="1">
      <alignment horizontal="center" wrapText="1"/>
    </xf>
    <xf numFmtId="0" fontId="1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Normal_Amoco" xfId="19"/>
    <cellStyle name="Normal_Davis Cty Energy" xfId="20"/>
    <cellStyle name="Normal_Flying J" xfId="21"/>
    <cellStyle name="Normal_Geneva" xfId="22"/>
    <cellStyle name="Normal_Graymont" xfId="23"/>
    <cellStyle name="Normal_Holnam" xfId="24"/>
    <cellStyle name="Normal_Hunter" xfId="25"/>
    <cellStyle name="Normal_IPP" xfId="26"/>
    <cellStyle name="Normal_Kennecott N Con" xfId="27"/>
    <cellStyle name="Normal_Phillips 66" xfId="28"/>
    <cellStyle name="Normal_Sheet1" xfId="29"/>
    <cellStyle name="Normal_Sheet2" xfId="30"/>
    <cellStyle name="Normal_Sheet3" xfId="31"/>
    <cellStyle name="Normal_Sheet4" xfId="32"/>
    <cellStyle name="Normal_Sunnyside" xfId="33"/>
    <cellStyle name="Normal_Tom Brown" xfId="34"/>
    <cellStyle name="Normal_Wasatch Cons.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7" customWidth="1"/>
    <col min="2" max="2" width="8.28125" style="7" customWidth="1"/>
    <col min="3" max="3" width="12.140625" style="7" customWidth="1"/>
    <col min="4" max="4" width="9.28125" style="7" customWidth="1"/>
    <col min="5" max="5" width="20.8515625" style="7" customWidth="1"/>
    <col min="6" max="6" width="8.00390625" style="7" customWidth="1"/>
    <col min="7" max="7" width="10.421875" style="7" customWidth="1"/>
    <col min="8" max="8" width="11.28125" style="7" customWidth="1"/>
    <col min="9" max="9" width="8.421875" style="7" customWidth="1"/>
    <col min="10" max="11" width="8.28125" style="7" customWidth="1"/>
    <col min="12" max="12" width="12.140625" style="7" customWidth="1"/>
    <col min="13" max="13" width="8.28125" style="7" customWidth="1"/>
    <col min="14" max="14" width="8.421875" style="7" customWidth="1"/>
    <col min="15" max="15" width="7.140625" style="7" customWidth="1"/>
    <col min="16" max="16" width="6.00390625" style="7" customWidth="1"/>
    <col min="17" max="17" width="9.140625" style="7" customWidth="1"/>
    <col min="18" max="18" width="16.00390625" style="7" customWidth="1"/>
    <col min="19" max="19" width="9.140625" style="7" customWidth="1"/>
    <col min="20" max="20" width="17.421875" style="7" customWidth="1"/>
    <col min="21" max="21" width="9.140625" style="7" customWidth="1"/>
    <col min="22" max="22" width="9.8515625" style="7" customWidth="1"/>
    <col min="23" max="23" width="11.7109375" style="7" customWidth="1"/>
    <col min="24" max="24" width="11.28125" style="7" customWidth="1"/>
    <col min="25" max="25" width="9.140625" style="7" customWidth="1"/>
    <col min="26" max="26" width="9.421875" style="7" customWidth="1"/>
    <col min="27" max="27" width="11.7109375" style="7" customWidth="1"/>
    <col min="28" max="28" width="56.28125" style="7" customWidth="1"/>
    <col min="29" max="16384" width="9.140625" style="7" customWidth="1"/>
  </cols>
  <sheetData>
    <row r="1" spans="1:5" ht="15.75">
      <c r="A1" s="5" t="s">
        <v>86</v>
      </c>
      <c r="B1" s="9"/>
      <c r="E1" s="2" t="s">
        <v>84</v>
      </c>
    </row>
    <row r="2" spans="1:5" ht="15">
      <c r="A2" s="9"/>
      <c r="B2" s="9"/>
      <c r="E2" s="3" t="s">
        <v>710</v>
      </c>
    </row>
    <row r="3" spans="1:3" ht="12.75">
      <c r="A3" s="9" t="s">
        <v>53</v>
      </c>
      <c r="B3" s="9" t="s">
        <v>54</v>
      </c>
      <c r="C3" s="5" t="s">
        <v>87</v>
      </c>
    </row>
    <row r="4" spans="1:2" ht="12.75">
      <c r="A4" s="4">
        <v>10335</v>
      </c>
      <c r="B4" s="9"/>
    </row>
    <row r="5" ht="13.5" thickBot="1"/>
    <row r="6" spans="1:30" ht="16.5" customHeight="1">
      <c r="A6" s="558" t="s">
        <v>83</v>
      </c>
      <c r="B6" s="561" t="s">
        <v>69</v>
      </c>
      <c r="C6" s="540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44" t="s">
        <v>439</v>
      </c>
      <c r="J6" s="545"/>
      <c r="K6" s="545"/>
      <c r="L6" s="546"/>
      <c r="M6" s="552" t="s">
        <v>55</v>
      </c>
      <c r="N6" s="553"/>
      <c r="O6" s="553"/>
      <c r="P6" s="554"/>
      <c r="Q6" s="549" t="s">
        <v>72</v>
      </c>
      <c r="R6" s="564" t="s">
        <v>70</v>
      </c>
      <c r="S6" s="565"/>
      <c r="T6" s="566" t="s">
        <v>71</v>
      </c>
      <c r="U6" s="565"/>
      <c r="V6" s="564" t="s">
        <v>80</v>
      </c>
      <c r="W6" s="532" t="s">
        <v>75</v>
      </c>
      <c r="X6" s="568" t="s">
        <v>676</v>
      </c>
      <c r="Y6" s="564" t="s">
        <v>76</v>
      </c>
      <c r="Z6" s="564" t="s">
        <v>77</v>
      </c>
      <c r="AA6" s="564" t="s">
        <v>78</v>
      </c>
      <c r="AB6" s="532" t="s">
        <v>79</v>
      </c>
      <c r="AC6" s="10"/>
      <c r="AD6" s="10"/>
    </row>
    <row r="7" spans="1:30" s="1" customFormat="1" ht="24.75" customHeight="1">
      <c r="A7" s="559"/>
      <c r="B7" s="562"/>
      <c r="C7" s="531"/>
      <c r="D7" s="542"/>
      <c r="E7" s="542"/>
      <c r="F7" s="542"/>
      <c r="G7" s="542"/>
      <c r="H7" s="542"/>
      <c r="I7" s="547"/>
      <c r="J7" s="547"/>
      <c r="K7" s="547"/>
      <c r="L7" s="548"/>
      <c r="M7" s="555" t="s">
        <v>60</v>
      </c>
      <c r="N7" s="557" t="s">
        <v>59</v>
      </c>
      <c r="O7" s="557" t="s">
        <v>61</v>
      </c>
      <c r="P7" s="557" t="s">
        <v>62</v>
      </c>
      <c r="Q7" s="550"/>
      <c r="R7" s="535" t="s">
        <v>81</v>
      </c>
      <c r="S7" s="537" t="s">
        <v>73</v>
      </c>
      <c r="T7" s="563" t="s">
        <v>675</v>
      </c>
      <c r="U7" s="529" t="s">
        <v>73</v>
      </c>
      <c r="V7" s="567"/>
      <c r="W7" s="533"/>
      <c r="X7" s="569"/>
      <c r="Y7" s="567"/>
      <c r="Z7" s="567"/>
      <c r="AA7" s="567"/>
      <c r="AB7" s="533"/>
      <c r="AC7" s="11"/>
      <c r="AD7" s="11"/>
    </row>
    <row r="8" spans="1:33" ht="25.5" customHeight="1" thickBot="1">
      <c r="A8" s="560"/>
      <c r="B8" s="539"/>
      <c r="C8" s="556"/>
      <c r="D8" s="543"/>
      <c r="E8" s="543"/>
      <c r="F8" s="543"/>
      <c r="G8" s="543"/>
      <c r="H8" s="543"/>
      <c r="I8" s="62" t="s">
        <v>57</v>
      </c>
      <c r="J8" s="59" t="s">
        <v>58</v>
      </c>
      <c r="K8" s="59" t="s">
        <v>56</v>
      </c>
      <c r="L8" s="60" t="s">
        <v>59</v>
      </c>
      <c r="M8" s="556"/>
      <c r="N8" s="543"/>
      <c r="O8" s="543"/>
      <c r="P8" s="543"/>
      <c r="Q8" s="551"/>
      <c r="R8" s="536"/>
      <c r="S8" s="538"/>
      <c r="T8" s="551"/>
      <c r="U8" s="530"/>
      <c r="V8" s="536"/>
      <c r="W8" s="534"/>
      <c r="X8" s="530"/>
      <c r="Y8" s="536"/>
      <c r="Z8" s="536"/>
      <c r="AA8" s="536"/>
      <c r="AB8" s="534"/>
      <c r="AC8" s="68"/>
      <c r="AD8" s="68"/>
      <c r="AE8" s="61"/>
      <c r="AF8" s="61"/>
      <c r="AG8" s="61"/>
    </row>
    <row r="9" spans="1:33" ht="12.75">
      <c r="A9" s="388" t="s">
        <v>88</v>
      </c>
      <c r="B9" s="391">
        <v>1234</v>
      </c>
      <c r="C9" s="394" t="s">
        <v>89</v>
      </c>
      <c r="D9" s="384">
        <v>10200701</v>
      </c>
      <c r="E9" s="394" t="s">
        <v>90</v>
      </c>
      <c r="F9" s="384" t="s">
        <v>114</v>
      </c>
      <c r="G9" s="384">
        <v>4</v>
      </c>
      <c r="H9" s="394" t="s">
        <v>119</v>
      </c>
      <c r="I9" s="384">
        <v>1416</v>
      </c>
      <c r="J9" s="394" t="s">
        <v>124</v>
      </c>
      <c r="K9" s="384">
        <v>46.25</v>
      </c>
      <c r="L9" s="394" t="s">
        <v>129</v>
      </c>
      <c r="M9" s="391">
        <v>0</v>
      </c>
      <c r="N9" s="384">
        <v>0</v>
      </c>
      <c r="O9" s="384" t="s">
        <v>91</v>
      </c>
      <c r="P9" s="384" t="s">
        <v>91</v>
      </c>
      <c r="Q9" s="384" t="s">
        <v>92</v>
      </c>
      <c r="R9" s="394" t="s">
        <v>116</v>
      </c>
      <c r="S9" s="384">
        <v>45</v>
      </c>
      <c r="T9" s="398"/>
      <c r="U9" s="384">
        <v>0</v>
      </c>
      <c r="V9" s="399">
        <v>0</v>
      </c>
      <c r="W9" s="403">
        <f>Z9*I9/2000</f>
        <v>6.018</v>
      </c>
      <c r="X9" s="398">
        <v>0</v>
      </c>
      <c r="Y9" s="384">
        <v>2</v>
      </c>
      <c r="Z9" s="406">
        <v>8.5</v>
      </c>
      <c r="AA9" s="394" t="s">
        <v>125</v>
      </c>
      <c r="AB9" s="409" t="s">
        <v>711</v>
      </c>
      <c r="AC9" s="61"/>
      <c r="AD9" s="61"/>
      <c r="AE9" s="61"/>
      <c r="AF9" s="61"/>
      <c r="AG9" s="61"/>
    </row>
    <row r="10" spans="1:33" ht="12.75">
      <c r="A10" s="389" t="s">
        <v>88</v>
      </c>
      <c r="B10" s="392">
        <v>1235</v>
      </c>
      <c r="C10" s="395" t="s">
        <v>88</v>
      </c>
      <c r="D10" s="385">
        <v>10200701</v>
      </c>
      <c r="E10" s="395" t="s">
        <v>94</v>
      </c>
      <c r="F10" s="385" t="s">
        <v>114</v>
      </c>
      <c r="G10" s="385">
        <v>5</v>
      </c>
      <c r="H10" s="395" t="s">
        <v>119</v>
      </c>
      <c r="I10" s="385">
        <v>988</v>
      </c>
      <c r="J10" s="395" t="s">
        <v>124</v>
      </c>
      <c r="K10" s="385">
        <v>46.25</v>
      </c>
      <c r="L10" s="395" t="s">
        <v>129</v>
      </c>
      <c r="M10" s="392">
        <v>0</v>
      </c>
      <c r="N10" s="385">
        <v>0</v>
      </c>
      <c r="O10" s="385" t="s">
        <v>91</v>
      </c>
      <c r="P10" s="385" t="s">
        <v>91</v>
      </c>
      <c r="Q10" s="385" t="s">
        <v>92</v>
      </c>
      <c r="R10" s="395" t="s">
        <v>116</v>
      </c>
      <c r="S10" s="385">
        <v>45</v>
      </c>
      <c r="T10" s="397"/>
      <c r="U10" s="385">
        <v>0</v>
      </c>
      <c r="V10" s="400">
        <v>0</v>
      </c>
      <c r="W10" s="400">
        <f>Z10*I10/2000</f>
        <v>4.199</v>
      </c>
      <c r="X10" s="385">
        <v>0</v>
      </c>
      <c r="Y10" s="385">
        <v>2</v>
      </c>
      <c r="Z10" s="407">
        <v>8.5</v>
      </c>
      <c r="AA10" s="395" t="s">
        <v>125</v>
      </c>
      <c r="AB10" s="410" t="s">
        <v>711</v>
      </c>
      <c r="AC10" s="67"/>
      <c r="AD10" s="67"/>
      <c r="AE10" s="61"/>
      <c r="AF10" s="61"/>
      <c r="AG10" s="61"/>
    </row>
    <row r="11" spans="1:33" ht="12.75">
      <c r="A11" s="389" t="s">
        <v>88</v>
      </c>
      <c r="B11" s="392">
        <v>1236</v>
      </c>
      <c r="C11" s="395" t="s">
        <v>95</v>
      </c>
      <c r="D11" s="385">
        <v>10200701</v>
      </c>
      <c r="E11" s="395" t="s">
        <v>96</v>
      </c>
      <c r="F11" s="385" t="s">
        <v>114</v>
      </c>
      <c r="G11" s="385">
        <v>6</v>
      </c>
      <c r="H11" s="395" t="s">
        <v>119</v>
      </c>
      <c r="I11" s="385">
        <v>47.06</v>
      </c>
      <c r="J11" s="395" t="s">
        <v>124</v>
      </c>
      <c r="K11" s="385">
        <v>326000</v>
      </c>
      <c r="L11" s="395" t="s">
        <v>394</v>
      </c>
      <c r="M11" s="392">
        <v>0</v>
      </c>
      <c r="N11" s="385">
        <v>0</v>
      </c>
      <c r="O11" s="385" t="s">
        <v>91</v>
      </c>
      <c r="P11" s="385" t="s">
        <v>91</v>
      </c>
      <c r="Q11" s="385" t="s">
        <v>92</v>
      </c>
      <c r="R11" s="395" t="s">
        <v>116</v>
      </c>
      <c r="S11" s="385">
        <v>45</v>
      </c>
      <c r="T11" s="397"/>
      <c r="U11" s="385">
        <v>0</v>
      </c>
      <c r="V11" s="401">
        <v>0</v>
      </c>
      <c r="W11" s="400">
        <f>Z11*I11/2000</f>
        <v>0.20071089999999997</v>
      </c>
      <c r="X11" s="397">
        <v>0</v>
      </c>
      <c r="Y11" s="385">
        <v>2</v>
      </c>
      <c r="Z11" s="407">
        <v>8.53</v>
      </c>
      <c r="AA11" s="395" t="s">
        <v>125</v>
      </c>
      <c r="AB11" s="410" t="s">
        <v>712</v>
      </c>
      <c r="AC11" s="61"/>
      <c r="AD11" s="61"/>
      <c r="AE11" s="61"/>
      <c r="AF11" s="61"/>
      <c r="AG11" s="61"/>
    </row>
    <row r="12" spans="1:33" ht="12.75">
      <c r="A12" s="389" t="s">
        <v>88</v>
      </c>
      <c r="B12" s="392">
        <v>3095</v>
      </c>
      <c r="C12" s="395" t="s">
        <v>97</v>
      </c>
      <c r="D12" s="385">
        <v>30600105</v>
      </c>
      <c r="E12" s="395" t="s">
        <v>98</v>
      </c>
      <c r="F12" s="385" t="s">
        <v>115</v>
      </c>
      <c r="G12" s="385">
        <v>2056</v>
      </c>
      <c r="H12" s="395" t="s">
        <v>99</v>
      </c>
      <c r="I12" s="385">
        <v>8760</v>
      </c>
      <c r="J12" s="395" t="s">
        <v>708</v>
      </c>
      <c r="K12" s="385">
        <v>22000</v>
      </c>
      <c r="L12" s="395" t="s">
        <v>715</v>
      </c>
      <c r="M12" s="392">
        <v>0</v>
      </c>
      <c r="N12" s="385">
        <v>0</v>
      </c>
      <c r="O12" s="385" t="s">
        <v>91</v>
      </c>
      <c r="P12" s="385" t="s">
        <v>91</v>
      </c>
      <c r="Q12" s="385" t="s">
        <v>92</v>
      </c>
      <c r="R12" s="395" t="s">
        <v>116</v>
      </c>
      <c r="S12" s="385">
        <v>45</v>
      </c>
      <c r="T12" s="397"/>
      <c r="U12" s="385">
        <v>0</v>
      </c>
      <c r="V12" s="401">
        <v>95</v>
      </c>
      <c r="W12" s="400">
        <f>Z12*I12/2000+66.26</f>
        <v>329.498</v>
      </c>
      <c r="X12" s="397">
        <v>5</v>
      </c>
      <c r="Y12" s="385">
        <v>10</v>
      </c>
      <c r="Z12" s="407">
        <v>60.1</v>
      </c>
      <c r="AA12" s="395" t="s">
        <v>117</v>
      </c>
      <c r="AB12" s="410" t="s">
        <v>713</v>
      </c>
      <c r="AC12" s="61"/>
      <c r="AD12" s="61"/>
      <c r="AE12" s="61"/>
      <c r="AF12" s="61"/>
      <c r="AG12" s="61"/>
    </row>
    <row r="13" spans="1:33" ht="12.75">
      <c r="A13" s="389" t="s">
        <v>88</v>
      </c>
      <c r="B13" s="392">
        <v>3286</v>
      </c>
      <c r="C13" s="395" t="s">
        <v>101</v>
      </c>
      <c r="D13" s="385">
        <v>10201402</v>
      </c>
      <c r="E13" s="395" t="s">
        <v>102</v>
      </c>
      <c r="F13" s="385" t="s">
        <v>114</v>
      </c>
      <c r="G13" s="385">
        <v>7</v>
      </c>
      <c r="H13" s="395" t="s">
        <v>119</v>
      </c>
      <c r="I13" s="385">
        <v>8760</v>
      </c>
      <c r="J13" s="395" t="s">
        <v>708</v>
      </c>
      <c r="K13" s="385">
        <v>777100</v>
      </c>
      <c r="L13" s="395" t="s">
        <v>126</v>
      </c>
      <c r="M13" s="392">
        <v>669</v>
      </c>
      <c r="N13" s="385" t="s">
        <v>120</v>
      </c>
      <c r="O13" s="385">
        <v>0.005</v>
      </c>
      <c r="P13" s="385">
        <v>0</v>
      </c>
      <c r="Q13" s="385" t="s">
        <v>92</v>
      </c>
      <c r="R13" s="395" t="s">
        <v>674</v>
      </c>
      <c r="S13" s="385">
        <v>99</v>
      </c>
      <c r="T13" s="397"/>
      <c r="U13" s="385">
        <v>0</v>
      </c>
      <c r="V13" s="401">
        <v>0</v>
      </c>
      <c r="W13" s="400">
        <f aca="true" t="shared" si="0" ref="W13:W19">Z13*I13/2000</f>
        <v>581.664</v>
      </c>
      <c r="X13" s="397">
        <v>0</v>
      </c>
      <c r="Y13" s="385">
        <v>10</v>
      </c>
      <c r="Z13" s="407">
        <v>132.8</v>
      </c>
      <c r="AA13" s="395" t="s">
        <v>117</v>
      </c>
      <c r="AB13" s="410" t="s">
        <v>100</v>
      </c>
      <c r="AC13" s="61"/>
      <c r="AD13" s="61"/>
      <c r="AE13" s="61"/>
      <c r="AF13" s="61"/>
      <c r="AG13" s="61"/>
    </row>
    <row r="14" spans="1:33" ht="12.75">
      <c r="A14" s="389" t="s">
        <v>88</v>
      </c>
      <c r="B14" s="392">
        <v>3287</v>
      </c>
      <c r="C14" s="395" t="s">
        <v>103</v>
      </c>
      <c r="D14" s="385">
        <v>10200701</v>
      </c>
      <c r="E14" s="395" t="s">
        <v>104</v>
      </c>
      <c r="F14" s="385" t="s">
        <v>114</v>
      </c>
      <c r="G14" s="385">
        <v>8</v>
      </c>
      <c r="H14" s="395" t="s">
        <v>119</v>
      </c>
      <c r="I14" s="385">
        <v>2316</v>
      </c>
      <c r="J14" s="395" t="s">
        <v>124</v>
      </c>
      <c r="K14" s="385">
        <v>46.25</v>
      </c>
      <c r="L14" s="395" t="s">
        <v>129</v>
      </c>
      <c r="M14" s="392">
        <v>669</v>
      </c>
      <c r="N14" s="385" t="s">
        <v>120</v>
      </c>
      <c r="O14" s="385">
        <v>0.005</v>
      </c>
      <c r="P14" s="385">
        <v>0</v>
      </c>
      <c r="Q14" s="385" t="s">
        <v>92</v>
      </c>
      <c r="R14" s="395" t="s">
        <v>116</v>
      </c>
      <c r="S14" s="385">
        <v>45</v>
      </c>
      <c r="T14" s="397"/>
      <c r="U14" s="385">
        <v>0</v>
      </c>
      <c r="V14" s="401">
        <v>0</v>
      </c>
      <c r="W14" s="400">
        <f t="shared" si="0"/>
        <v>9.843</v>
      </c>
      <c r="X14" s="397">
        <v>0</v>
      </c>
      <c r="Y14" s="385">
        <v>1</v>
      </c>
      <c r="Z14" s="407">
        <v>8.5</v>
      </c>
      <c r="AA14" s="395" t="s">
        <v>125</v>
      </c>
      <c r="AB14" s="410" t="s">
        <v>716</v>
      </c>
      <c r="AC14" s="61"/>
      <c r="AD14" s="61"/>
      <c r="AE14" s="61"/>
      <c r="AF14" s="61"/>
      <c r="AG14" s="61"/>
    </row>
    <row r="15" spans="1:33" ht="12.75">
      <c r="A15" s="389" t="s">
        <v>88</v>
      </c>
      <c r="B15" s="392">
        <v>3288</v>
      </c>
      <c r="C15" s="395" t="s">
        <v>105</v>
      </c>
      <c r="D15" s="385">
        <v>30600107</v>
      </c>
      <c r="E15" s="395" t="s">
        <v>106</v>
      </c>
      <c r="F15" s="385" t="s">
        <v>115</v>
      </c>
      <c r="G15" s="385">
        <v>9</v>
      </c>
      <c r="H15" s="395" t="s">
        <v>121</v>
      </c>
      <c r="I15" s="385">
        <v>14</v>
      </c>
      <c r="J15" s="395" t="s">
        <v>124</v>
      </c>
      <c r="K15" s="385">
        <v>8760</v>
      </c>
      <c r="L15" s="395" t="s">
        <v>127</v>
      </c>
      <c r="M15" s="392">
        <v>1000</v>
      </c>
      <c r="N15" s="385" t="s">
        <v>120</v>
      </c>
      <c r="O15" s="385">
        <v>0</v>
      </c>
      <c r="P15" s="385">
        <v>0</v>
      </c>
      <c r="Q15" s="385" t="s">
        <v>92</v>
      </c>
      <c r="R15" s="397"/>
      <c r="S15" s="397"/>
      <c r="T15" s="397"/>
      <c r="U15" s="397"/>
      <c r="V15" s="397"/>
      <c r="W15" s="400">
        <f t="shared" si="0"/>
        <v>0.0595</v>
      </c>
      <c r="X15" s="397">
        <v>0</v>
      </c>
      <c r="Y15" s="385">
        <v>2</v>
      </c>
      <c r="Z15" s="407">
        <v>8.5</v>
      </c>
      <c r="AA15" s="395" t="s">
        <v>125</v>
      </c>
      <c r="AB15" s="410" t="s">
        <v>93</v>
      </c>
      <c r="AC15" s="67"/>
      <c r="AD15" s="67"/>
      <c r="AE15" s="61"/>
      <c r="AF15" s="61"/>
      <c r="AG15" s="61"/>
    </row>
    <row r="16" spans="1:33" ht="12.75">
      <c r="A16" s="389" t="s">
        <v>88</v>
      </c>
      <c r="B16" s="392">
        <v>3289</v>
      </c>
      <c r="C16" s="395" t="s">
        <v>107</v>
      </c>
      <c r="D16" s="385">
        <v>30600903</v>
      </c>
      <c r="E16" s="395" t="s">
        <v>108</v>
      </c>
      <c r="F16" s="385" t="s">
        <v>115</v>
      </c>
      <c r="G16" s="385">
        <v>10</v>
      </c>
      <c r="H16" s="395" t="s">
        <v>119</v>
      </c>
      <c r="I16" s="385">
        <v>249.41</v>
      </c>
      <c r="J16" s="395" t="s">
        <v>124</v>
      </c>
      <c r="K16" s="385">
        <v>39939</v>
      </c>
      <c r="L16" s="395" t="s">
        <v>126</v>
      </c>
      <c r="M16" s="392">
        <v>669</v>
      </c>
      <c r="N16" s="385" t="s">
        <v>120</v>
      </c>
      <c r="O16" s="385">
        <v>0.005</v>
      </c>
      <c r="P16" s="385">
        <v>0</v>
      </c>
      <c r="Q16" s="385" t="s">
        <v>92</v>
      </c>
      <c r="R16" s="395"/>
      <c r="S16" s="385"/>
      <c r="T16" s="395"/>
      <c r="U16" s="385"/>
      <c r="V16" s="401"/>
      <c r="W16" s="400">
        <f t="shared" si="0"/>
        <v>1.0599925000000001</v>
      </c>
      <c r="X16" s="397">
        <v>0</v>
      </c>
      <c r="Y16" s="385">
        <v>2</v>
      </c>
      <c r="Z16" s="407">
        <v>8.5</v>
      </c>
      <c r="AA16" s="395" t="s">
        <v>125</v>
      </c>
      <c r="AB16" s="410" t="s">
        <v>714</v>
      </c>
      <c r="AC16" s="67"/>
      <c r="AD16" s="67"/>
      <c r="AE16" s="61"/>
      <c r="AF16" s="61"/>
      <c r="AG16" s="61"/>
    </row>
    <row r="17" spans="1:33" ht="12.75">
      <c r="A17" s="389" t="s">
        <v>88</v>
      </c>
      <c r="B17" s="392">
        <v>3290</v>
      </c>
      <c r="C17" s="395" t="s">
        <v>109</v>
      </c>
      <c r="D17" s="385">
        <v>30600903</v>
      </c>
      <c r="E17" s="395" t="s">
        <v>110</v>
      </c>
      <c r="F17" s="385" t="s">
        <v>115</v>
      </c>
      <c r="G17" s="385">
        <v>11</v>
      </c>
      <c r="H17" s="395" t="s">
        <v>119</v>
      </c>
      <c r="I17" s="385">
        <v>80</v>
      </c>
      <c r="J17" s="395" t="s">
        <v>124</v>
      </c>
      <c r="K17" s="385">
        <v>39939</v>
      </c>
      <c r="L17" s="395" t="s">
        <v>126</v>
      </c>
      <c r="M17" s="392">
        <v>669</v>
      </c>
      <c r="N17" s="385" t="s">
        <v>120</v>
      </c>
      <c r="O17" s="385">
        <v>0.005</v>
      </c>
      <c r="P17" s="385">
        <v>0</v>
      </c>
      <c r="Q17" s="385" t="s">
        <v>92</v>
      </c>
      <c r="R17" s="395"/>
      <c r="S17" s="385"/>
      <c r="T17" s="395"/>
      <c r="U17" s="385"/>
      <c r="V17" s="401"/>
      <c r="W17" s="400">
        <f t="shared" si="0"/>
        <v>0.34</v>
      </c>
      <c r="X17" s="397">
        <v>0</v>
      </c>
      <c r="Y17" s="385">
        <v>2</v>
      </c>
      <c r="Z17" s="407">
        <v>8.5</v>
      </c>
      <c r="AA17" s="395" t="s">
        <v>125</v>
      </c>
      <c r="AB17" s="410" t="s">
        <v>717</v>
      </c>
      <c r="AC17" s="67"/>
      <c r="AD17" s="67"/>
      <c r="AE17" s="61"/>
      <c r="AF17" s="61"/>
      <c r="AG17" s="61"/>
    </row>
    <row r="18" spans="1:33" ht="12.75">
      <c r="A18" s="389" t="s">
        <v>88</v>
      </c>
      <c r="B18" s="392">
        <v>4350</v>
      </c>
      <c r="C18" s="395" t="s">
        <v>111</v>
      </c>
      <c r="D18" s="385">
        <v>30600111</v>
      </c>
      <c r="E18" s="395" t="s">
        <v>104</v>
      </c>
      <c r="F18" s="385" t="s">
        <v>114</v>
      </c>
      <c r="G18" s="385">
        <v>1789</v>
      </c>
      <c r="H18" s="395" t="s">
        <v>122</v>
      </c>
      <c r="I18" s="397">
        <v>1789</v>
      </c>
      <c r="J18" s="395" t="s">
        <v>128</v>
      </c>
      <c r="K18" s="385"/>
      <c r="L18" s="395"/>
      <c r="M18" s="392">
        <v>141921</v>
      </c>
      <c r="N18" s="385" t="s">
        <v>123</v>
      </c>
      <c r="O18" s="385">
        <v>1.1</v>
      </c>
      <c r="P18" s="385">
        <v>0</v>
      </c>
      <c r="Q18" s="385" t="s">
        <v>92</v>
      </c>
      <c r="R18" s="395"/>
      <c r="S18" s="385"/>
      <c r="T18" s="395"/>
      <c r="U18" s="385"/>
      <c r="V18" s="401"/>
      <c r="W18" s="400">
        <f t="shared" si="0"/>
        <v>183.3725</v>
      </c>
      <c r="X18" s="397">
        <v>0</v>
      </c>
      <c r="Y18" s="385">
        <v>5</v>
      </c>
      <c r="Z18" s="407">
        <v>205</v>
      </c>
      <c r="AA18" s="395" t="s">
        <v>441</v>
      </c>
      <c r="AB18" s="410" t="s">
        <v>160</v>
      </c>
      <c r="AC18" s="67"/>
      <c r="AD18" s="67"/>
      <c r="AE18" s="61"/>
      <c r="AF18" s="61"/>
      <c r="AG18" s="61"/>
    </row>
    <row r="19" spans="1:33" ht="13.5" thickBot="1">
      <c r="A19" s="390" t="s">
        <v>88</v>
      </c>
      <c r="B19" s="393">
        <v>14661</v>
      </c>
      <c r="C19" s="396" t="s">
        <v>112</v>
      </c>
      <c r="D19" s="387">
        <v>30600903</v>
      </c>
      <c r="E19" s="396" t="s">
        <v>113</v>
      </c>
      <c r="F19" s="387" t="s">
        <v>114</v>
      </c>
      <c r="G19" s="387">
        <v>11</v>
      </c>
      <c r="H19" s="396" t="s">
        <v>121</v>
      </c>
      <c r="I19" s="387">
        <v>105</v>
      </c>
      <c r="J19" s="396" t="s">
        <v>124</v>
      </c>
      <c r="K19" s="387"/>
      <c r="L19" s="396"/>
      <c r="M19" s="393">
        <v>1050</v>
      </c>
      <c r="N19" s="387" t="s">
        <v>120</v>
      </c>
      <c r="O19" s="387">
        <v>0</v>
      </c>
      <c r="P19" s="387">
        <v>0</v>
      </c>
      <c r="Q19" s="387" t="s">
        <v>92</v>
      </c>
      <c r="R19" s="396"/>
      <c r="S19" s="387"/>
      <c r="T19" s="396"/>
      <c r="U19" s="387"/>
      <c r="V19" s="402"/>
      <c r="W19" s="404">
        <f t="shared" si="0"/>
        <v>0.0315</v>
      </c>
      <c r="X19" s="405">
        <v>0</v>
      </c>
      <c r="Y19" s="386">
        <v>3</v>
      </c>
      <c r="Z19" s="408">
        <v>0.6</v>
      </c>
      <c r="AA19" s="412" t="s">
        <v>125</v>
      </c>
      <c r="AB19" s="411" t="s">
        <v>161</v>
      </c>
      <c r="AC19" s="67"/>
      <c r="AD19" s="67"/>
      <c r="AE19" s="61"/>
      <c r="AF19" s="61"/>
      <c r="AG19" s="61"/>
    </row>
    <row r="20" spans="1:73" ht="13.5" thickBo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7"/>
      <c r="R20" s="61"/>
      <c r="S20" s="61"/>
      <c r="T20" s="67"/>
      <c r="U20" s="61"/>
      <c r="V20" s="374" t="s">
        <v>118</v>
      </c>
      <c r="W20" s="375">
        <f>SUM(W9:W19)</f>
        <v>1116.2862034</v>
      </c>
      <c r="X20" s="61"/>
      <c r="Y20" s="61"/>
      <c r="Z20" s="416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</row>
    <row r="21" spans="1:3" s="417" customFormat="1" ht="13.5" thickTop="1">
      <c r="A21" s="418"/>
      <c r="C21" s="445" t="s">
        <v>743</v>
      </c>
    </row>
    <row r="22" spans="1:3" s="417" customFormat="1" ht="12.75">
      <c r="A22" s="418"/>
      <c r="C22" s="417" t="s">
        <v>731</v>
      </c>
    </row>
    <row r="23" spans="1:3" s="417" customFormat="1" ht="12.75">
      <c r="A23" s="418"/>
      <c r="C23" s="417" t="s">
        <v>732</v>
      </c>
    </row>
    <row r="24" s="417" customFormat="1" ht="12.75">
      <c r="C24" s="417" t="s">
        <v>733</v>
      </c>
    </row>
    <row r="25" s="417" customFormat="1" ht="12.75"/>
    <row r="26" s="417" customFormat="1" ht="12.75">
      <c r="C26" s="417" t="s">
        <v>718</v>
      </c>
    </row>
    <row r="27" s="417" customFormat="1" ht="12.75"/>
    <row r="28" spans="1:30" s="417" customFormat="1" ht="12.75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</row>
    <row r="29" spans="1:30" s="417" customFormat="1" ht="12.75">
      <c r="A29" s="420"/>
      <c r="B29" s="421"/>
      <c r="C29" s="420"/>
      <c r="D29" s="421"/>
      <c r="E29" s="420"/>
      <c r="F29" s="421"/>
      <c r="G29" s="421"/>
      <c r="H29" s="420"/>
      <c r="I29" s="421"/>
      <c r="K29" s="421"/>
      <c r="L29" s="421"/>
      <c r="M29" s="421"/>
      <c r="N29" s="421"/>
      <c r="O29" s="421"/>
      <c r="P29" s="421"/>
      <c r="Q29" s="420"/>
      <c r="R29" s="420"/>
      <c r="S29" s="420"/>
      <c r="T29" s="420"/>
      <c r="U29" s="420"/>
      <c r="V29" s="420"/>
      <c r="W29" s="421"/>
      <c r="X29" s="421"/>
      <c r="Y29" s="421"/>
      <c r="Z29" s="421"/>
      <c r="AA29" s="421"/>
      <c r="AB29" s="420"/>
      <c r="AC29" s="421"/>
      <c r="AD29" s="421"/>
    </row>
    <row r="30" spans="1:30" s="417" customFormat="1" ht="12.75">
      <c r="A30" s="420"/>
      <c r="B30" s="421"/>
      <c r="C30" s="420"/>
      <c r="D30" s="421"/>
      <c r="E30" s="420"/>
      <c r="F30" s="421"/>
      <c r="G30" s="421"/>
      <c r="H30" s="420"/>
      <c r="I30" s="421"/>
      <c r="J30" s="421"/>
      <c r="K30" s="421"/>
      <c r="L30" s="421"/>
      <c r="M30" s="421"/>
      <c r="N30" s="421"/>
      <c r="O30" s="421"/>
      <c r="P30" s="421"/>
      <c r="Q30" s="420"/>
      <c r="R30" s="420"/>
      <c r="S30" s="420"/>
      <c r="T30" s="420"/>
      <c r="U30" s="420"/>
      <c r="V30" s="420"/>
      <c r="W30" s="421"/>
      <c r="X30" s="421"/>
      <c r="Y30" s="421"/>
      <c r="Z30" s="421"/>
      <c r="AA30" s="421"/>
      <c r="AB30" s="420"/>
      <c r="AC30" s="421"/>
      <c r="AD30" s="421"/>
    </row>
    <row r="31" spans="1:30" s="417" customFormat="1" ht="12.75">
      <c r="A31" s="420"/>
      <c r="B31" s="421"/>
      <c r="C31" s="420"/>
      <c r="D31" s="421"/>
      <c r="E31" s="420"/>
      <c r="F31" s="421"/>
      <c r="G31" s="421"/>
      <c r="H31" s="420"/>
      <c r="I31" s="421"/>
      <c r="J31" s="421"/>
      <c r="K31" s="421"/>
      <c r="L31" s="421"/>
      <c r="M31" s="421"/>
      <c r="N31" s="421"/>
      <c r="O31" s="421"/>
      <c r="P31" s="421"/>
      <c r="Q31" s="420"/>
      <c r="R31" s="420"/>
      <c r="S31" s="420"/>
      <c r="T31" s="420"/>
      <c r="U31" s="420"/>
      <c r="V31" s="420"/>
      <c r="W31" s="421"/>
      <c r="X31" s="421"/>
      <c r="Y31" s="421"/>
      <c r="Z31" s="421"/>
      <c r="AA31" s="421"/>
      <c r="AB31" s="420"/>
      <c r="AC31" s="421"/>
      <c r="AD31" s="421"/>
    </row>
    <row r="32" spans="1:30" s="417" customFormat="1" ht="12.75">
      <c r="A32" s="420"/>
      <c r="B32" s="421"/>
      <c r="C32" s="420"/>
      <c r="D32" s="421"/>
      <c r="E32" s="420"/>
      <c r="F32" s="421"/>
      <c r="G32" s="421"/>
      <c r="H32" s="420"/>
      <c r="I32" s="421"/>
      <c r="J32" s="421"/>
      <c r="K32" s="421"/>
      <c r="L32" s="421"/>
      <c r="M32" s="421"/>
      <c r="N32" s="421"/>
      <c r="O32" s="421"/>
      <c r="P32" s="421"/>
      <c r="Q32" s="420"/>
      <c r="R32" s="420"/>
      <c r="S32" s="420"/>
      <c r="T32" s="420"/>
      <c r="U32" s="420"/>
      <c r="V32" s="420"/>
      <c r="W32" s="421"/>
      <c r="X32" s="421"/>
      <c r="Y32" s="421"/>
      <c r="Z32" s="421"/>
      <c r="AA32" s="421"/>
      <c r="AB32" s="420"/>
      <c r="AC32" s="421"/>
      <c r="AD32" s="421"/>
    </row>
    <row r="33" spans="1:30" s="417" customFormat="1" ht="12.75">
      <c r="A33" s="420"/>
      <c r="B33" s="421"/>
      <c r="C33" s="420"/>
      <c r="D33" s="421"/>
      <c r="E33" s="420"/>
      <c r="F33" s="421"/>
      <c r="G33" s="421"/>
      <c r="H33" s="420"/>
      <c r="I33" s="421"/>
      <c r="J33" s="421"/>
      <c r="K33" s="421"/>
      <c r="L33" s="421"/>
      <c r="M33" s="421"/>
      <c r="N33" s="421"/>
      <c r="O33" s="421"/>
      <c r="P33" s="421"/>
      <c r="Q33" s="420"/>
      <c r="R33" s="420"/>
      <c r="S33" s="420"/>
      <c r="T33" s="420"/>
      <c r="U33" s="420"/>
      <c r="V33" s="420"/>
      <c r="W33" s="421"/>
      <c r="X33" s="421"/>
      <c r="Y33" s="421"/>
      <c r="Z33" s="421"/>
      <c r="AA33" s="421"/>
      <c r="AB33" s="420"/>
      <c r="AC33" s="421"/>
      <c r="AD33" s="421"/>
    </row>
    <row r="34" spans="1:30" s="417" customFormat="1" ht="12.75">
      <c r="A34" s="420"/>
      <c r="B34" s="421"/>
      <c r="C34" s="420"/>
      <c r="D34" s="421"/>
      <c r="E34" s="420"/>
      <c r="F34" s="421"/>
      <c r="G34" s="421"/>
      <c r="H34" s="420"/>
      <c r="I34" s="421"/>
      <c r="J34" s="421"/>
      <c r="K34" s="421"/>
      <c r="L34" s="421"/>
      <c r="M34" s="421"/>
      <c r="N34" s="421"/>
      <c r="O34" s="421"/>
      <c r="P34" s="421"/>
      <c r="Q34" s="420"/>
      <c r="R34" s="420"/>
      <c r="S34" s="420"/>
      <c r="T34" s="420"/>
      <c r="U34" s="420"/>
      <c r="V34" s="420"/>
      <c r="W34" s="421"/>
      <c r="X34" s="421"/>
      <c r="Y34" s="421"/>
      <c r="Z34" s="421"/>
      <c r="AA34" s="421"/>
      <c r="AB34" s="420"/>
      <c r="AC34" s="421"/>
      <c r="AD34" s="421"/>
    </row>
    <row r="35" spans="1:30" s="417" customFormat="1" ht="12.75">
      <c r="A35" s="420"/>
      <c r="B35" s="421"/>
      <c r="C35" s="420"/>
      <c r="D35" s="421"/>
      <c r="E35" s="420"/>
      <c r="F35" s="421"/>
      <c r="G35" s="421"/>
      <c r="H35" s="420"/>
      <c r="I35" s="421"/>
      <c r="J35" s="421"/>
      <c r="K35" s="421"/>
      <c r="L35" s="421"/>
      <c r="M35" s="421"/>
      <c r="N35" s="421"/>
      <c r="O35" s="421"/>
      <c r="P35" s="421"/>
      <c r="Q35" s="420"/>
      <c r="R35" s="420"/>
      <c r="S35" s="420"/>
      <c r="T35" s="420"/>
      <c r="U35" s="420"/>
      <c r="V35" s="420"/>
      <c r="W35" s="421"/>
      <c r="X35" s="421"/>
      <c r="Y35" s="421"/>
      <c r="Z35" s="421"/>
      <c r="AA35" s="421"/>
      <c r="AB35" s="420"/>
      <c r="AC35" s="421"/>
      <c r="AD35" s="421"/>
    </row>
    <row r="36" spans="1:30" s="417" customFormat="1" ht="12.75">
      <c r="A36" s="420"/>
      <c r="B36" s="421"/>
      <c r="C36" s="420"/>
      <c r="D36" s="421"/>
      <c r="E36" s="420"/>
      <c r="F36" s="421"/>
      <c r="G36" s="421"/>
      <c r="H36" s="420"/>
      <c r="I36" s="421"/>
      <c r="J36" s="421"/>
      <c r="K36" s="421"/>
      <c r="L36" s="421"/>
      <c r="M36" s="421"/>
      <c r="N36" s="421"/>
      <c r="O36" s="421"/>
      <c r="P36" s="421"/>
      <c r="Q36" s="420"/>
      <c r="R36" s="420"/>
      <c r="S36" s="420"/>
      <c r="T36" s="420"/>
      <c r="U36" s="420"/>
      <c r="V36" s="420"/>
      <c r="W36" s="421"/>
      <c r="X36" s="421"/>
      <c r="Y36" s="421"/>
      <c r="Z36" s="421"/>
      <c r="AA36" s="421"/>
      <c r="AB36" s="420"/>
      <c r="AC36" s="421"/>
      <c r="AD36" s="421"/>
    </row>
    <row r="37" spans="1:30" s="417" customFormat="1" ht="12.75">
      <c r="A37" s="420"/>
      <c r="B37" s="421"/>
      <c r="C37" s="420"/>
      <c r="D37" s="421"/>
      <c r="E37" s="420"/>
      <c r="F37" s="421"/>
      <c r="G37" s="421"/>
      <c r="H37" s="420"/>
      <c r="I37" s="421"/>
      <c r="J37" s="421"/>
      <c r="K37" s="421"/>
      <c r="L37" s="421"/>
      <c r="M37" s="421"/>
      <c r="N37" s="421"/>
      <c r="O37" s="421"/>
      <c r="P37" s="421"/>
      <c r="Q37" s="420"/>
      <c r="R37" s="420"/>
      <c r="S37" s="420"/>
      <c r="T37" s="420"/>
      <c r="U37" s="420"/>
      <c r="V37" s="420"/>
      <c r="W37" s="421"/>
      <c r="X37" s="421"/>
      <c r="Y37" s="421"/>
      <c r="Z37" s="421"/>
      <c r="AA37" s="421"/>
      <c r="AB37" s="420"/>
      <c r="AC37" s="421"/>
      <c r="AD37" s="421"/>
    </row>
    <row r="38" spans="1:30" s="417" customFormat="1" ht="12.75">
      <c r="A38" s="420"/>
      <c r="B38" s="421"/>
      <c r="C38" s="420"/>
      <c r="D38" s="421"/>
      <c r="E38" s="420"/>
      <c r="F38" s="421"/>
      <c r="G38" s="421"/>
      <c r="H38" s="420"/>
      <c r="I38" s="421"/>
      <c r="J38" s="421"/>
      <c r="K38" s="421"/>
      <c r="L38" s="421"/>
      <c r="M38" s="421"/>
      <c r="N38" s="421"/>
      <c r="O38" s="421"/>
      <c r="P38" s="421"/>
      <c r="Q38" s="420"/>
      <c r="R38" s="420"/>
      <c r="S38" s="420"/>
      <c r="T38" s="420"/>
      <c r="U38" s="420"/>
      <c r="V38" s="420"/>
      <c r="W38" s="421"/>
      <c r="X38" s="421"/>
      <c r="Y38" s="421"/>
      <c r="Z38" s="421"/>
      <c r="AA38" s="421"/>
      <c r="AB38" s="420"/>
      <c r="AC38" s="421"/>
      <c r="AD38" s="421"/>
    </row>
    <row r="39" spans="1:30" s="417" customFormat="1" ht="12.75">
      <c r="A39" s="420"/>
      <c r="B39" s="421"/>
      <c r="C39" s="420"/>
      <c r="D39" s="421"/>
      <c r="E39" s="420"/>
      <c r="F39" s="421"/>
      <c r="G39" s="421"/>
      <c r="H39" s="420"/>
      <c r="I39" s="421"/>
      <c r="J39" s="421"/>
      <c r="K39" s="421"/>
      <c r="L39" s="421"/>
      <c r="M39" s="421"/>
      <c r="N39" s="421"/>
      <c r="O39" s="421"/>
      <c r="P39" s="421"/>
      <c r="Q39" s="420"/>
      <c r="R39" s="420"/>
      <c r="S39" s="420"/>
      <c r="T39" s="420"/>
      <c r="U39" s="420"/>
      <c r="V39" s="420"/>
      <c r="W39" s="421"/>
      <c r="X39" s="421"/>
      <c r="Y39" s="421"/>
      <c r="Z39" s="421"/>
      <c r="AA39" s="421"/>
      <c r="AB39" s="420"/>
      <c r="AC39" s="421"/>
      <c r="AD39" s="421"/>
    </row>
    <row r="40" s="417" customFormat="1" ht="12.75"/>
    <row r="41" s="417" customFormat="1" ht="12.75"/>
    <row r="42" s="417" customFormat="1" ht="12.75"/>
    <row r="43" spans="1:31" s="417" customFormat="1" ht="12.75">
      <c r="A43" s="419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</row>
    <row r="44" spans="1:31" s="417" customFormat="1" ht="12.75">
      <c r="A44" s="421"/>
      <c r="B44" s="420"/>
      <c r="C44" s="421"/>
      <c r="D44" s="420"/>
      <c r="E44" s="420"/>
      <c r="F44" s="421"/>
      <c r="G44" s="420"/>
      <c r="H44" s="421"/>
      <c r="I44" s="420"/>
      <c r="J44" s="421"/>
      <c r="K44" s="421"/>
      <c r="L44" s="420"/>
      <c r="M44" s="420"/>
      <c r="N44" s="421"/>
      <c r="O44" s="421"/>
      <c r="P44" s="420"/>
      <c r="Q44" s="421"/>
      <c r="R44" s="421"/>
      <c r="S44" s="421"/>
      <c r="T44" s="421"/>
      <c r="U44" s="421"/>
      <c r="V44" s="421"/>
      <c r="W44" s="420"/>
      <c r="X44" s="421"/>
      <c r="Y44" s="421"/>
      <c r="Z44" s="421"/>
      <c r="AA44" s="421"/>
      <c r="AB44" s="421"/>
      <c r="AC44" s="420"/>
      <c r="AD44" s="421"/>
      <c r="AE44" s="421"/>
    </row>
    <row r="45" spans="1:31" s="417" customFormat="1" ht="12.75">
      <c r="A45" s="421"/>
      <c r="B45" s="420"/>
      <c r="C45" s="421"/>
      <c r="D45" s="420"/>
      <c r="E45" s="420"/>
      <c r="F45" s="421"/>
      <c r="G45" s="420"/>
      <c r="H45" s="421"/>
      <c r="I45" s="420"/>
      <c r="J45" s="421"/>
      <c r="K45" s="421"/>
      <c r="L45" s="420"/>
      <c r="M45" s="420"/>
      <c r="N45" s="421"/>
      <c r="O45" s="421"/>
      <c r="P45" s="420"/>
      <c r="Q45" s="421"/>
      <c r="R45" s="421"/>
      <c r="S45" s="421"/>
      <c r="T45" s="421"/>
      <c r="U45" s="421"/>
      <c r="V45" s="421"/>
      <c r="W45" s="420"/>
      <c r="X45" s="421"/>
      <c r="Y45" s="421"/>
      <c r="Z45" s="421"/>
      <c r="AA45" s="421"/>
      <c r="AB45" s="421"/>
      <c r="AC45" s="420"/>
      <c r="AD45" s="421"/>
      <c r="AE45" s="421"/>
    </row>
    <row r="46" spans="1:31" s="417" customFormat="1" ht="12.75">
      <c r="A46" s="421"/>
      <c r="B46" s="420"/>
      <c r="C46" s="421"/>
      <c r="D46" s="420"/>
      <c r="E46" s="420"/>
      <c r="F46" s="421"/>
      <c r="G46" s="420"/>
      <c r="H46" s="421"/>
      <c r="I46" s="420"/>
      <c r="J46" s="421"/>
      <c r="K46" s="421"/>
      <c r="L46" s="420"/>
      <c r="M46" s="420"/>
      <c r="N46" s="421"/>
      <c r="O46" s="421"/>
      <c r="P46" s="420"/>
      <c r="Q46" s="421"/>
      <c r="R46" s="421"/>
      <c r="S46" s="421"/>
      <c r="T46" s="421"/>
      <c r="U46" s="421"/>
      <c r="V46" s="421"/>
      <c r="W46" s="420"/>
      <c r="X46" s="421"/>
      <c r="Y46" s="421"/>
      <c r="Z46" s="421"/>
      <c r="AA46" s="421"/>
      <c r="AB46" s="421"/>
      <c r="AC46" s="420"/>
      <c r="AD46" s="421"/>
      <c r="AE46" s="421"/>
    </row>
    <row r="47" spans="1:31" s="417" customFormat="1" ht="12.75">
      <c r="A47" s="421"/>
      <c r="B47" s="420"/>
      <c r="C47" s="421"/>
      <c r="D47" s="420"/>
      <c r="E47" s="420"/>
      <c r="F47" s="421"/>
      <c r="G47" s="420"/>
      <c r="H47" s="421"/>
      <c r="I47" s="420"/>
      <c r="J47" s="421"/>
      <c r="K47" s="421"/>
      <c r="L47" s="420"/>
      <c r="M47" s="420"/>
      <c r="N47" s="421"/>
      <c r="O47" s="421"/>
      <c r="P47" s="420"/>
      <c r="Q47" s="421"/>
      <c r="R47" s="421"/>
      <c r="S47" s="421"/>
      <c r="T47" s="421"/>
      <c r="U47" s="421"/>
      <c r="V47" s="421"/>
      <c r="W47" s="420"/>
      <c r="X47" s="421"/>
      <c r="Y47" s="421"/>
      <c r="Z47" s="421"/>
      <c r="AA47" s="421"/>
      <c r="AB47" s="421"/>
      <c r="AC47" s="420"/>
      <c r="AD47" s="421"/>
      <c r="AE47" s="421"/>
    </row>
    <row r="48" spans="1:31" s="417" customFormat="1" ht="12.75">
      <c r="A48" s="421"/>
      <c r="B48" s="420"/>
      <c r="C48" s="421"/>
      <c r="D48" s="420"/>
      <c r="E48" s="420"/>
      <c r="F48" s="421"/>
      <c r="G48" s="420"/>
      <c r="H48" s="421"/>
      <c r="I48" s="420"/>
      <c r="J48" s="421"/>
      <c r="K48" s="421"/>
      <c r="L48" s="420"/>
      <c r="M48" s="420"/>
      <c r="N48" s="421"/>
      <c r="O48" s="421"/>
      <c r="P48" s="420"/>
      <c r="Q48" s="421"/>
      <c r="R48" s="421"/>
      <c r="S48" s="421"/>
      <c r="T48" s="421"/>
      <c r="U48" s="421"/>
      <c r="V48" s="421"/>
      <c r="W48" s="420"/>
      <c r="X48" s="421"/>
      <c r="Y48" s="421"/>
      <c r="Z48" s="421"/>
      <c r="AA48" s="421"/>
      <c r="AB48" s="421"/>
      <c r="AC48" s="420"/>
      <c r="AD48" s="421"/>
      <c r="AE48" s="421"/>
    </row>
    <row r="49" spans="1:31" s="417" customFormat="1" ht="12.75">
      <c r="A49" s="421"/>
      <c r="B49" s="420"/>
      <c r="C49" s="421"/>
      <c r="D49" s="420"/>
      <c r="E49" s="420"/>
      <c r="F49" s="421"/>
      <c r="G49" s="420"/>
      <c r="H49" s="421"/>
      <c r="I49" s="420"/>
      <c r="J49" s="421"/>
      <c r="K49" s="421"/>
      <c r="L49" s="420"/>
      <c r="M49" s="420"/>
      <c r="N49" s="421"/>
      <c r="O49" s="421"/>
      <c r="P49" s="420"/>
      <c r="Q49" s="421"/>
      <c r="R49" s="421"/>
      <c r="S49" s="421"/>
      <c r="T49" s="421"/>
      <c r="U49" s="421"/>
      <c r="V49" s="421"/>
      <c r="W49" s="420"/>
      <c r="X49" s="421"/>
      <c r="Y49" s="421"/>
      <c r="Z49" s="421"/>
      <c r="AA49" s="421"/>
      <c r="AB49" s="421"/>
      <c r="AC49" s="420"/>
      <c r="AD49" s="421"/>
      <c r="AE49" s="421"/>
    </row>
    <row r="50" spans="1:31" s="417" customFormat="1" ht="12.75">
      <c r="A50" s="421"/>
      <c r="B50" s="420"/>
      <c r="C50" s="421"/>
      <c r="D50" s="420"/>
      <c r="E50" s="420"/>
      <c r="F50" s="421"/>
      <c r="G50" s="420"/>
      <c r="H50" s="421"/>
      <c r="I50" s="420"/>
      <c r="J50" s="421"/>
      <c r="K50" s="421"/>
      <c r="L50" s="420"/>
      <c r="M50" s="420"/>
      <c r="N50" s="421"/>
      <c r="O50" s="421"/>
      <c r="P50" s="420"/>
      <c r="Q50" s="421"/>
      <c r="R50" s="421"/>
      <c r="S50" s="421"/>
      <c r="T50" s="421"/>
      <c r="U50" s="421"/>
      <c r="V50" s="421"/>
      <c r="W50" s="420"/>
      <c r="X50" s="421"/>
      <c r="Y50" s="421"/>
      <c r="Z50" s="421"/>
      <c r="AA50" s="421"/>
      <c r="AB50" s="421"/>
      <c r="AC50" s="420"/>
      <c r="AD50" s="421"/>
      <c r="AE50" s="421"/>
    </row>
    <row r="51" spans="1:31" s="417" customFormat="1" ht="12.75">
      <c r="A51" s="421"/>
      <c r="B51" s="420"/>
      <c r="C51" s="421"/>
      <c r="D51" s="420"/>
      <c r="E51" s="420"/>
      <c r="F51" s="421"/>
      <c r="G51" s="420"/>
      <c r="H51" s="421"/>
      <c r="I51" s="420"/>
      <c r="J51" s="421"/>
      <c r="K51" s="421"/>
      <c r="L51" s="420"/>
      <c r="M51" s="420"/>
      <c r="N51" s="421"/>
      <c r="O51" s="421"/>
      <c r="P51" s="420"/>
      <c r="Q51" s="421"/>
      <c r="R51" s="421"/>
      <c r="S51" s="421"/>
      <c r="T51" s="421"/>
      <c r="U51" s="421"/>
      <c r="V51" s="421"/>
      <c r="W51" s="420"/>
      <c r="X51" s="421"/>
      <c r="Y51" s="421"/>
      <c r="Z51" s="421"/>
      <c r="AA51" s="421"/>
      <c r="AB51" s="421"/>
      <c r="AC51" s="420"/>
      <c r="AD51" s="421"/>
      <c r="AE51" s="421"/>
    </row>
    <row r="52" spans="1:31" s="417" customFormat="1" ht="12.75">
      <c r="A52" s="421"/>
      <c r="B52" s="420"/>
      <c r="C52" s="421"/>
      <c r="D52" s="420"/>
      <c r="E52" s="420"/>
      <c r="F52" s="421"/>
      <c r="G52" s="420"/>
      <c r="H52" s="421"/>
      <c r="I52" s="420"/>
      <c r="J52" s="421"/>
      <c r="K52" s="421"/>
      <c r="L52" s="420"/>
      <c r="M52" s="420"/>
      <c r="N52" s="421"/>
      <c r="O52" s="421"/>
      <c r="P52" s="420"/>
      <c r="Q52" s="421"/>
      <c r="R52" s="421"/>
      <c r="S52" s="421"/>
      <c r="T52" s="421"/>
      <c r="U52" s="421"/>
      <c r="V52" s="421"/>
      <c r="W52" s="420"/>
      <c r="X52" s="421"/>
      <c r="Y52" s="421"/>
      <c r="Z52" s="421"/>
      <c r="AA52" s="421"/>
      <c r="AB52" s="421"/>
      <c r="AC52" s="420"/>
      <c r="AD52" s="421"/>
      <c r="AE52" s="421"/>
    </row>
    <row r="53" spans="1:31" s="417" customFormat="1" ht="12.75">
      <c r="A53" s="421"/>
      <c r="B53" s="420"/>
      <c r="C53" s="421"/>
      <c r="D53" s="420"/>
      <c r="E53" s="420"/>
      <c r="F53" s="421"/>
      <c r="G53" s="420"/>
      <c r="H53" s="421"/>
      <c r="I53" s="420"/>
      <c r="J53" s="421"/>
      <c r="K53" s="421"/>
      <c r="L53" s="420"/>
      <c r="M53" s="420"/>
      <c r="N53" s="421"/>
      <c r="O53" s="421"/>
      <c r="P53" s="420"/>
      <c r="Q53" s="421"/>
      <c r="R53" s="421"/>
      <c r="S53" s="421"/>
      <c r="T53" s="421"/>
      <c r="U53" s="421"/>
      <c r="V53" s="421"/>
      <c r="W53" s="420"/>
      <c r="X53" s="421"/>
      <c r="Y53" s="421"/>
      <c r="Z53" s="421"/>
      <c r="AA53" s="421"/>
      <c r="AB53" s="421"/>
      <c r="AC53" s="420"/>
      <c r="AD53" s="421"/>
      <c r="AE53" s="421"/>
    </row>
    <row r="54" spans="1:31" s="417" customFormat="1" ht="12.75">
      <c r="A54" s="421"/>
      <c r="B54" s="420"/>
      <c r="C54" s="421"/>
      <c r="D54" s="420"/>
      <c r="E54" s="420"/>
      <c r="F54" s="421"/>
      <c r="G54" s="420"/>
      <c r="H54" s="421"/>
      <c r="I54" s="420"/>
      <c r="J54" s="421"/>
      <c r="K54" s="421"/>
      <c r="L54" s="420"/>
      <c r="M54" s="420"/>
      <c r="N54" s="421"/>
      <c r="O54" s="421"/>
      <c r="P54" s="420"/>
      <c r="Q54" s="421"/>
      <c r="R54" s="421"/>
      <c r="S54" s="421"/>
      <c r="T54" s="421"/>
      <c r="U54" s="421"/>
      <c r="V54" s="421"/>
      <c r="W54" s="420"/>
      <c r="X54" s="421"/>
      <c r="Y54" s="421"/>
      <c r="Z54" s="421"/>
      <c r="AA54" s="421"/>
      <c r="AB54" s="421"/>
      <c r="AC54" s="420"/>
      <c r="AD54" s="421"/>
      <c r="AE54" s="421"/>
    </row>
    <row r="55" s="417" customFormat="1" ht="12.75"/>
    <row r="56" s="417" customFormat="1" ht="12.75"/>
    <row r="57" s="417" customFormat="1" ht="12.75"/>
    <row r="58" s="417" customFormat="1" ht="12.75"/>
    <row r="59" s="417" customFormat="1" ht="12.75"/>
    <row r="60" s="417" customFormat="1" ht="12.75"/>
    <row r="61" s="417" customFormat="1" ht="12.75"/>
    <row r="62" s="417" customFormat="1" ht="12.75"/>
    <row r="63" s="417" customFormat="1" ht="12.75"/>
    <row r="64" s="417" customFormat="1" ht="12.75"/>
    <row r="65" s="417" customFormat="1" ht="12.75"/>
    <row r="66" s="417" customFormat="1" ht="12.75"/>
    <row r="67" s="417" customFormat="1" ht="12.75"/>
    <row r="68" s="417" customFormat="1" ht="12.75"/>
    <row r="69" s="417" customFormat="1" ht="12.75"/>
    <row r="70" s="417" customFormat="1" ht="12.75"/>
    <row r="71" s="417" customFormat="1" ht="12.75"/>
    <row r="72" s="417" customFormat="1" ht="12.75"/>
    <row r="73" s="417" customFormat="1" ht="12.75"/>
    <row r="74" s="417" customFormat="1" ht="12.75"/>
    <row r="75" s="417" customFormat="1" ht="12.75"/>
    <row r="76" s="417" customFormat="1" ht="12.75"/>
    <row r="77" s="417" customFormat="1" ht="12.75"/>
    <row r="78" s="417" customFormat="1" ht="12.75"/>
    <row r="79" s="417" customFormat="1" ht="12.75"/>
    <row r="80" s="417" customFormat="1" ht="12.75"/>
    <row r="81" s="417" customFormat="1" ht="12.75"/>
    <row r="82" s="417" customFormat="1" ht="12.75"/>
    <row r="83" s="417" customFormat="1" ht="12.75"/>
    <row r="84" s="417" customFormat="1" ht="12.75"/>
    <row r="85" s="417" customFormat="1" ht="12.75"/>
    <row r="86" s="417" customFormat="1" ht="12.75"/>
    <row r="87" s="417" customFormat="1" ht="12.75"/>
    <row r="88" s="417" customFormat="1" ht="12.75"/>
    <row r="89" s="417" customFormat="1" ht="12.75"/>
    <row r="90" s="417" customFormat="1" ht="12.75"/>
    <row r="91" s="417" customFormat="1" ht="12.75"/>
    <row r="92" s="417" customFormat="1" ht="12.75"/>
    <row r="93" s="417" customFormat="1" ht="12.75"/>
    <row r="94" s="417" customFormat="1" ht="12.75"/>
    <row r="95" s="417" customFormat="1" ht="12.75"/>
    <row r="96" s="417" customFormat="1" ht="12.75"/>
    <row r="97" s="417" customFormat="1" ht="12.75"/>
    <row r="98" s="417" customFormat="1" ht="12.75"/>
    <row r="99" s="417" customFormat="1" ht="12.75"/>
    <row r="100" s="417" customFormat="1" ht="12.75"/>
    <row r="101" s="417" customFormat="1" ht="12.75"/>
    <row r="102" s="417" customFormat="1" ht="12.75"/>
    <row r="103" s="417" customFormat="1" ht="12.75"/>
    <row r="104" s="417" customFormat="1" ht="12.75"/>
    <row r="105" s="417" customFormat="1" ht="12.75"/>
    <row r="106" s="417" customFormat="1" ht="12.75"/>
    <row r="107" s="417" customFormat="1" ht="12.75"/>
    <row r="108" s="417" customFormat="1" ht="12.75"/>
    <row r="109" s="417" customFormat="1" ht="12.75"/>
    <row r="110" s="417" customFormat="1" ht="12.75"/>
    <row r="111" s="417" customFormat="1" ht="12.75"/>
    <row r="112" s="417" customFormat="1" ht="12.75"/>
    <row r="113" s="417" customFormat="1" ht="12.75"/>
    <row r="114" s="417" customFormat="1" ht="12.75"/>
    <row r="115" s="417" customFormat="1" ht="12.75"/>
    <row r="116" s="417" customFormat="1" ht="12.75"/>
    <row r="117" s="417" customFormat="1" ht="12.75"/>
    <row r="118" s="417" customFormat="1" ht="12.75"/>
    <row r="119" s="417" customFormat="1" ht="12.75"/>
  </sheetData>
  <mergeCells count="28">
    <mergeCell ref="Z6:Z8"/>
    <mergeCell ref="AA6:AA8"/>
    <mergeCell ref="D6:D8"/>
    <mergeCell ref="E6:E8"/>
    <mergeCell ref="V6:V8"/>
    <mergeCell ref="W6:W8"/>
    <mergeCell ref="X6:X8"/>
    <mergeCell ref="Y6:Y8"/>
    <mergeCell ref="F6:F8"/>
    <mergeCell ref="G6:G8"/>
    <mergeCell ref="A6:A8"/>
    <mergeCell ref="B6:B8"/>
    <mergeCell ref="C6:C8"/>
    <mergeCell ref="AB6:AB8"/>
    <mergeCell ref="R7:R8"/>
    <mergeCell ref="S7:S8"/>
    <mergeCell ref="U7:U8"/>
    <mergeCell ref="T7:T8"/>
    <mergeCell ref="R6:S6"/>
    <mergeCell ref="T6:U6"/>
    <mergeCell ref="H6:H8"/>
    <mergeCell ref="I6:L7"/>
    <mergeCell ref="Q6:Q8"/>
    <mergeCell ref="M6:P6"/>
    <mergeCell ref="M7:M8"/>
    <mergeCell ref="N7:N8"/>
    <mergeCell ref="O7:O8"/>
    <mergeCell ref="P7:P8"/>
  </mergeCells>
  <printOptions/>
  <pageMargins left="0.57" right="0.44" top="1.74" bottom="1" header="0.56" footer="0.5"/>
  <pageSetup horizontalDpi="600" verticalDpi="600" orientation="landscape" r:id="rId1"/>
  <headerFooter alignWithMargins="0">
    <oddHeader>&amp;L
Amoco Petroleum Products
Site Name:  Salt Lake City Refinery
Site ID:  10335&amp;C&amp;"Arial,Bold"Regional Haze
&amp;"Arial,Regular"1998 Statewide SOx Sources
</oddHeader>
    <oddFooter>&amp;R&amp;D
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67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8.421875" style="0" customWidth="1"/>
    <col min="4" max="4" width="9.00390625" style="0" customWidth="1"/>
    <col min="5" max="5" width="21.00390625" style="0" customWidth="1"/>
    <col min="6" max="6" width="8.140625" style="0" customWidth="1"/>
    <col min="7" max="7" width="10.7109375" style="0" customWidth="1"/>
    <col min="8" max="8" width="24.00390625" style="0" customWidth="1"/>
    <col min="9" max="9" width="9.57421875" style="0" customWidth="1"/>
    <col min="10" max="10" width="15.421875" style="0" customWidth="1"/>
    <col min="11" max="11" width="7.28125" style="0" customWidth="1"/>
    <col min="12" max="13" width="7.8515625" style="0" customWidth="1"/>
    <col min="14" max="14" width="5.8515625" style="0" customWidth="1"/>
    <col min="15" max="15" width="6.57421875" style="0" customWidth="1"/>
    <col min="16" max="16" width="4.57421875" style="0" customWidth="1"/>
    <col min="18" max="18" width="41.57421875" style="0" customWidth="1"/>
    <col min="20" max="20" width="11.28125" style="0" customWidth="1"/>
    <col min="22" max="22" width="9.57421875" style="0" customWidth="1"/>
    <col min="23" max="23" width="10.421875" style="21" customWidth="1"/>
    <col min="24" max="24" width="11.421875" style="0" customWidth="1"/>
    <col min="25" max="26" width="8.7109375" style="0" customWidth="1"/>
    <col min="27" max="27" width="13.00390625" style="0" customWidth="1"/>
    <col min="28" max="28" width="24.8515625" style="0" customWidth="1"/>
    <col min="29" max="29" width="29.140625" style="0" customWidth="1"/>
  </cols>
  <sheetData>
    <row r="1" spans="1:35" ht="15.75">
      <c r="A1" s="71"/>
      <c r="B1" s="211"/>
      <c r="C1" s="71"/>
      <c r="D1" s="71"/>
      <c r="E1" s="212" t="s">
        <v>84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10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</row>
    <row r="2" spans="1:35" ht="15">
      <c r="A2" s="211"/>
      <c r="B2" s="211"/>
      <c r="C2" s="71"/>
      <c r="D2" s="71"/>
      <c r="E2" s="213" t="s">
        <v>737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10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</row>
    <row r="3" spans="1:35" ht="15">
      <c r="A3" s="214" t="s">
        <v>384</v>
      </c>
      <c r="B3" s="211"/>
      <c r="C3" s="71"/>
      <c r="D3" s="71"/>
      <c r="E3" s="21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10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1:35" ht="12.75">
      <c r="A4" s="211" t="s">
        <v>53</v>
      </c>
      <c r="B4" s="211" t="s">
        <v>54</v>
      </c>
      <c r="C4" s="214" t="s">
        <v>385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10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1:35" ht="12.75">
      <c r="A5" s="73">
        <v>10007</v>
      </c>
      <c r="B5" s="21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10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13.5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10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</row>
    <row r="7" spans="1:66" ht="16.5" customHeight="1">
      <c r="A7" s="576" t="s">
        <v>83</v>
      </c>
      <c r="B7" s="541" t="s">
        <v>69</v>
      </c>
      <c r="C7" s="541" t="s">
        <v>68</v>
      </c>
      <c r="D7" s="541" t="s">
        <v>67</v>
      </c>
      <c r="E7" s="541" t="s">
        <v>66</v>
      </c>
      <c r="F7" s="541" t="s">
        <v>63</v>
      </c>
      <c r="G7" s="541" t="s">
        <v>64</v>
      </c>
      <c r="H7" s="541" t="s">
        <v>65</v>
      </c>
      <c r="I7" s="572" t="s">
        <v>439</v>
      </c>
      <c r="J7" s="572"/>
      <c r="K7" s="572"/>
      <c r="L7" s="572"/>
      <c r="M7" s="572" t="s">
        <v>55</v>
      </c>
      <c r="N7" s="572"/>
      <c r="O7" s="572"/>
      <c r="P7" s="572"/>
      <c r="Q7" s="541" t="s">
        <v>72</v>
      </c>
      <c r="R7" s="572" t="s">
        <v>70</v>
      </c>
      <c r="S7" s="572"/>
      <c r="T7" s="572" t="s">
        <v>71</v>
      </c>
      <c r="U7" s="572"/>
      <c r="V7" s="541" t="s">
        <v>80</v>
      </c>
      <c r="W7" s="614" t="s">
        <v>305</v>
      </c>
      <c r="X7" s="541" t="s">
        <v>74</v>
      </c>
      <c r="Y7" s="541" t="s">
        <v>76</v>
      </c>
      <c r="Z7" s="541" t="s">
        <v>77</v>
      </c>
      <c r="AA7" s="541" t="s">
        <v>78</v>
      </c>
      <c r="AB7" s="603" t="s">
        <v>79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</row>
    <row r="8" spans="1:66" s="1" customFormat="1" ht="24.75" customHeight="1">
      <c r="A8" s="624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557" t="s">
        <v>81</v>
      </c>
      <c r="S8" s="557" t="s">
        <v>73</v>
      </c>
      <c r="T8" s="557" t="s">
        <v>675</v>
      </c>
      <c r="U8" s="557" t="s">
        <v>73</v>
      </c>
      <c r="V8" s="557"/>
      <c r="W8" s="615"/>
      <c r="X8" s="557"/>
      <c r="Y8" s="557"/>
      <c r="Z8" s="557"/>
      <c r="AA8" s="601"/>
      <c r="AB8" s="604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pans="1:66" ht="25.5" customHeight="1" thickBot="1">
      <c r="A9" s="625"/>
      <c r="B9" s="610"/>
      <c r="C9" s="610"/>
      <c r="D9" s="610"/>
      <c r="E9" s="610"/>
      <c r="F9" s="610"/>
      <c r="G9" s="610"/>
      <c r="H9" s="610"/>
      <c r="I9" s="56" t="s">
        <v>57</v>
      </c>
      <c r="J9" s="56" t="s">
        <v>58</v>
      </c>
      <c r="K9" s="56" t="s">
        <v>56</v>
      </c>
      <c r="L9" s="56" t="s">
        <v>59</v>
      </c>
      <c r="M9" s="56" t="s">
        <v>60</v>
      </c>
      <c r="N9" s="56" t="s">
        <v>59</v>
      </c>
      <c r="O9" s="56" t="s">
        <v>61</v>
      </c>
      <c r="P9" s="56" t="s">
        <v>62</v>
      </c>
      <c r="Q9" s="610"/>
      <c r="R9" s="563"/>
      <c r="S9" s="563"/>
      <c r="T9" s="610"/>
      <c r="U9" s="563"/>
      <c r="V9" s="563"/>
      <c r="W9" s="616"/>
      <c r="X9" s="563"/>
      <c r="Y9" s="563"/>
      <c r="Z9" s="563"/>
      <c r="AA9" s="610"/>
      <c r="AB9" s="617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</row>
    <row r="10" spans="1:35" ht="12.75">
      <c r="A10" s="200" t="s">
        <v>135</v>
      </c>
      <c r="B10" s="201">
        <v>972</v>
      </c>
      <c r="C10" s="202" t="s">
        <v>386</v>
      </c>
      <c r="D10" s="201">
        <v>20200301</v>
      </c>
      <c r="E10" s="202" t="s">
        <v>387</v>
      </c>
      <c r="F10" s="201" t="s">
        <v>114</v>
      </c>
      <c r="G10" s="201">
        <v>0</v>
      </c>
      <c r="H10" s="202" t="s">
        <v>229</v>
      </c>
      <c r="I10" s="201">
        <v>0.5</v>
      </c>
      <c r="J10" s="202" t="s">
        <v>397</v>
      </c>
      <c r="K10" s="201">
        <v>0</v>
      </c>
      <c r="L10" s="201">
        <v>0</v>
      </c>
      <c r="M10" s="201">
        <v>0</v>
      </c>
      <c r="N10" s="201">
        <v>0</v>
      </c>
      <c r="O10" s="201">
        <v>0</v>
      </c>
      <c r="P10" s="201">
        <v>0</v>
      </c>
      <c r="Q10" s="202" t="s">
        <v>92</v>
      </c>
      <c r="R10" s="202"/>
      <c r="S10" s="202"/>
      <c r="T10" s="202"/>
      <c r="U10" s="202"/>
      <c r="V10" s="202"/>
      <c r="W10" s="203">
        <f aca="true" t="shared" si="0" ref="W10:W16">Z10*I10/2000</f>
        <v>0.00132</v>
      </c>
      <c r="X10" s="201" t="s">
        <v>91</v>
      </c>
      <c r="Y10" s="201">
        <v>3</v>
      </c>
      <c r="Z10" s="201">
        <v>5.28</v>
      </c>
      <c r="AA10" s="201" t="s">
        <v>395</v>
      </c>
      <c r="AB10" s="204" t="s">
        <v>396</v>
      </c>
      <c r="AC10" s="71"/>
      <c r="AD10" s="71"/>
      <c r="AE10" s="71"/>
      <c r="AF10" s="71"/>
      <c r="AG10" s="71"/>
      <c r="AH10" s="71"/>
      <c r="AI10" s="71"/>
    </row>
    <row r="11" spans="1:35" ht="12.75">
      <c r="A11" s="205" t="s">
        <v>135</v>
      </c>
      <c r="B11" s="77">
        <v>1031</v>
      </c>
      <c r="C11" s="76" t="s">
        <v>388</v>
      </c>
      <c r="D11" s="77">
        <v>20200102</v>
      </c>
      <c r="E11" s="76" t="s">
        <v>235</v>
      </c>
      <c r="F11" s="77" t="s">
        <v>114</v>
      </c>
      <c r="G11" s="77">
        <v>0</v>
      </c>
      <c r="H11" s="76" t="s">
        <v>232</v>
      </c>
      <c r="I11" s="77">
        <v>38.369</v>
      </c>
      <c r="J11" s="76" t="s">
        <v>397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6" t="s">
        <v>92</v>
      </c>
      <c r="R11" s="76"/>
      <c r="S11" s="76"/>
      <c r="T11" s="76"/>
      <c r="U11" s="76"/>
      <c r="V11" s="76"/>
      <c r="W11" s="81">
        <f t="shared" si="0"/>
        <v>0.5966379500000001</v>
      </c>
      <c r="X11" s="77" t="s">
        <v>91</v>
      </c>
      <c r="Y11" s="77">
        <v>3</v>
      </c>
      <c r="Z11" s="77">
        <v>31.1</v>
      </c>
      <c r="AA11" s="77" t="s">
        <v>395</v>
      </c>
      <c r="AB11" s="89" t="s">
        <v>396</v>
      </c>
      <c r="AC11" s="71"/>
      <c r="AD11" s="71"/>
      <c r="AE11" s="71"/>
      <c r="AF11" s="71"/>
      <c r="AG11" s="71"/>
      <c r="AH11" s="71"/>
      <c r="AI11" s="71"/>
    </row>
    <row r="12" spans="1:35" ht="12.75">
      <c r="A12" s="205" t="s">
        <v>135</v>
      </c>
      <c r="B12" s="77">
        <v>1032</v>
      </c>
      <c r="C12" s="76" t="s">
        <v>386</v>
      </c>
      <c r="D12" s="77">
        <v>20200301</v>
      </c>
      <c r="E12" s="76" t="s">
        <v>387</v>
      </c>
      <c r="F12" s="77" t="s">
        <v>114</v>
      </c>
      <c r="G12" s="77">
        <v>0</v>
      </c>
      <c r="H12" s="76" t="s">
        <v>232</v>
      </c>
      <c r="I12" s="77">
        <v>41.337</v>
      </c>
      <c r="J12" s="76" t="s">
        <v>397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6" t="s">
        <v>92</v>
      </c>
      <c r="R12" s="76"/>
      <c r="S12" s="76"/>
      <c r="T12" s="76"/>
      <c r="U12" s="76"/>
      <c r="V12" s="76"/>
      <c r="W12" s="81">
        <f t="shared" si="0"/>
        <v>0.6448572</v>
      </c>
      <c r="X12" s="77" t="s">
        <v>91</v>
      </c>
      <c r="Y12" s="77">
        <v>3</v>
      </c>
      <c r="Z12" s="77">
        <v>31.2</v>
      </c>
      <c r="AA12" s="77" t="s">
        <v>395</v>
      </c>
      <c r="AB12" s="89" t="s">
        <v>396</v>
      </c>
      <c r="AC12" s="71"/>
      <c r="AD12" s="71"/>
      <c r="AE12" s="71"/>
      <c r="AF12" s="71"/>
      <c r="AG12" s="71"/>
      <c r="AH12" s="71"/>
      <c r="AI12" s="71"/>
    </row>
    <row r="13" spans="1:35" ht="12.75">
      <c r="A13" s="205" t="s">
        <v>135</v>
      </c>
      <c r="B13" s="77">
        <v>1033</v>
      </c>
      <c r="C13" s="76" t="s">
        <v>389</v>
      </c>
      <c r="D13" s="77">
        <v>20200102</v>
      </c>
      <c r="E13" s="76" t="s">
        <v>390</v>
      </c>
      <c r="F13" s="77" t="s">
        <v>114</v>
      </c>
      <c r="G13" s="77">
        <v>0</v>
      </c>
      <c r="H13" s="76" t="s">
        <v>232</v>
      </c>
      <c r="I13" s="77">
        <v>1.387</v>
      </c>
      <c r="J13" s="76" t="s">
        <v>397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6" t="s">
        <v>92</v>
      </c>
      <c r="R13" s="76"/>
      <c r="S13" s="76"/>
      <c r="T13" s="76"/>
      <c r="U13" s="76"/>
      <c r="V13" s="76"/>
      <c r="W13" s="81">
        <f t="shared" si="0"/>
        <v>0.0216372</v>
      </c>
      <c r="X13" s="77" t="s">
        <v>91</v>
      </c>
      <c r="Y13" s="77">
        <v>3</v>
      </c>
      <c r="Z13" s="77">
        <v>31.2</v>
      </c>
      <c r="AA13" s="77" t="s">
        <v>395</v>
      </c>
      <c r="AB13" s="89" t="s">
        <v>396</v>
      </c>
      <c r="AC13" s="71"/>
      <c r="AD13" s="71"/>
      <c r="AE13" s="71"/>
      <c r="AF13" s="71"/>
      <c r="AG13" s="71"/>
      <c r="AH13" s="71"/>
      <c r="AI13" s="71"/>
    </row>
    <row r="14" spans="1:35" ht="12.75">
      <c r="A14" s="205" t="s">
        <v>135</v>
      </c>
      <c r="B14" s="77">
        <v>1034</v>
      </c>
      <c r="C14" s="76" t="s">
        <v>391</v>
      </c>
      <c r="D14" s="77">
        <v>20200102</v>
      </c>
      <c r="E14" s="76" t="s">
        <v>392</v>
      </c>
      <c r="F14" s="77" t="s">
        <v>114</v>
      </c>
      <c r="G14" s="77">
        <v>0</v>
      </c>
      <c r="H14" s="76" t="s">
        <v>232</v>
      </c>
      <c r="I14" s="77">
        <v>2523</v>
      </c>
      <c r="J14" s="76" t="s">
        <v>375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6" t="s">
        <v>92</v>
      </c>
      <c r="R14" s="76"/>
      <c r="S14" s="76"/>
      <c r="T14" s="76"/>
      <c r="U14" s="76"/>
      <c r="V14" s="76"/>
      <c r="W14" s="81">
        <f t="shared" si="0"/>
        <v>0.5802900000000001</v>
      </c>
      <c r="X14" s="77" t="s">
        <v>91</v>
      </c>
      <c r="Y14" s="77">
        <v>3</v>
      </c>
      <c r="Z14" s="77">
        <v>0.46</v>
      </c>
      <c r="AA14" s="77" t="s">
        <v>673</v>
      </c>
      <c r="AB14" s="89" t="s">
        <v>396</v>
      </c>
      <c r="AC14" s="71"/>
      <c r="AD14" s="71"/>
      <c r="AE14" s="71"/>
      <c r="AF14" s="71"/>
      <c r="AG14" s="71"/>
      <c r="AH14" s="71"/>
      <c r="AI14" s="71"/>
    </row>
    <row r="15" spans="1:35" ht="12.75">
      <c r="A15" s="205" t="s">
        <v>135</v>
      </c>
      <c r="B15" s="77">
        <v>1035</v>
      </c>
      <c r="C15" s="76" t="s">
        <v>203</v>
      </c>
      <c r="D15" s="77">
        <v>20200102</v>
      </c>
      <c r="E15" s="76" t="s">
        <v>393</v>
      </c>
      <c r="F15" s="77" t="s">
        <v>114</v>
      </c>
      <c r="G15" s="77">
        <v>0</v>
      </c>
      <c r="H15" s="76" t="s">
        <v>232</v>
      </c>
      <c r="I15" s="77">
        <v>0.2</v>
      </c>
      <c r="J15" s="76" t="s">
        <v>397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6" t="s">
        <v>92</v>
      </c>
      <c r="R15" s="76"/>
      <c r="S15" s="76"/>
      <c r="T15" s="76"/>
      <c r="U15" s="76"/>
      <c r="V15" s="76"/>
      <c r="W15" s="81">
        <f t="shared" si="0"/>
        <v>0.0031100000000000004</v>
      </c>
      <c r="X15" s="77" t="s">
        <v>91</v>
      </c>
      <c r="Y15" s="77">
        <v>3</v>
      </c>
      <c r="Z15" s="77">
        <v>31.1</v>
      </c>
      <c r="AA15" s="77" t="s">
        <v>395</v>
      </c>
      <c r="AB15" s="89" t="s">
        <v>396</v>
      </c>
      <c r="AC15" s="71"/>
      <c r="AD15" s="71"/>
      <c r="AE15" s="71"/>
      <c r="AF15" s="71"/>
      <c r="AG15" s="71"/>
      <c r="AH15" s="71"/>
      <c r="AI15" s="71"/>
    </row>
    <row r="16" spans="1:35" ht="12.75">
      <c r="A16" s="205" t="s">
        <v>135</v>
      </c>
      <c r="B16" s="77">
        <v>1036</v>
      </c>
      <c r="C16" s="76">
        <v>18</v>
      </c>
      <c r="D16" s="77">
        <v>20200102</v>
      </c>
      <c r="E16" s="76" t="s">
        <v>312</v>
      </c>
      <c r="F16" s="77" t="s">
        <v>114</v>
      </c>
      <c r="G16" s="77">
        <v>0</v>
      </c>
      <c r="H16" s="76" t="s">
        <v>232</v>
      </c>
      <c r="I16" s="77">
        <v>11.672</v>
      </c>
      <c r="J16" s="76" t="s">
        <v>397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6" t="s">
        <v>92</v>
      </c>
      <c r="R16" s="76"/>
      <c r="S16" s="76"/>
      <c r="T16" s="76"/>
      <c r="U16" s="76"/>
      <c r="V16" s="76"/>
      <c r="W16" s="81">
        <f t="shared" si="0"/>
        <v>0.1814996</v>
      </c>
      <c r="X16" s="77" t="s">
        <v>91</v>
      </c>
      <c r="Y16" s="77">
        <v>3</v>
      </c>
      <c r="Z16" s="77">
        <v>31.1</v>
      </c>
      <c r="AA16" s="77" t="s">
        <v>395</v>
      </c>
      <c r="AB16" s="89" t="s">
        <v>396</v>
      </c>
      <c r="AC16" s="71"/>
      <c r="AD16" s="71"/>
      <c r="AE16" s="71"/>
      <c r="AF16" s="71"/>
      <c r="AG16" s="71"/>
      <c r="AH16" s="71"/>
      <c r="AI16" s="71"/>
    </row>
    <row r="17" spans="1:35" ht="12.75">
      <c r="A17" s="205">
        <v>12</v>
      </c>
      <c r="B17" s="77">
        <v>21425</v>
      </c>
      <c r="C17" s="76">
        <v>3</v>
      </c>
      <c r="D17" s="77">
        <v>20200102</v>
      </c>
      <c r="E17" s="76" t="s">
        <v>809</v>
      </c>
      <c r="F17" s="77" t="s">
        <v>114</v>
      </c>
      <c r="G17" s="77">
        <v>0</v>
      </c>
      <c r="H17" s="76" t="s">
        <v>232</v>
      </c>
      <c r="I17" s="77">
        <v>1621</v>
      </c>
      <c r="J17" s="76" t="s">
        <v>375</v>
      </c>
      <c r="K17" s="77">
        <v>0</v>
      </c>
      <c r="L17" s="77">
        <v>0</v>
      </c>
      <c r="M17" s="72">
        <v>0</v>
      </c>
      <c r="N17" s="77">
        <v>0</v>
      </c>
      <c r="O17" s="77">
        <v>0</v>
      </c>
      <c r="P17" s="77">
        <v>0</v>
      </c>
      <c r="Q17" s="76" t="s">
        <v>92</v>
      </c>
      <c r="R17" s="197"/>
      <c r="S17" s="198"/>
      <c r="T17" s="76"/>
      <c r="U17" s="76"/>
      <c r="V17" s="199"/>
      <c r="W17" s="81">
        <f>Z17*I17/2000</f>
        <v>0.06484000000000001</v>
      </c>
      <c r="X17" s="77">
        <v>0</v>
      </c>
      <c r="Y17" s="77">
        <v>3</v>
      </c>
      <c r="Z17" s="77">
        <v>0.08</v>
      </c>
      <c r="AA17" s="77" t="s">
        <v>673</v>
      </c>
      <c r="AB17" s="89" t="s">
        <v>396</v>
      </c>
      <c r="AC17" s="71"/>
      <c r="AD17" s="71"/>
      <c r="AE17" s="71"/>
      <c r="AF17" s="71"/>
      <c r="AG17" s="71"/>
      <c r="AH17" s="71"/>
      <c r="AI17" s="71"/>
    </row>
    <row r="18" spans="1:35" ht="13.5" thickBot="1">
      <c r="A18" s="206">
        <v>2</v>
      </c>
      <c r="B18" s="86">
        <v>17342</v>
      </c>
      <c r="C18" s="87" t="s">
        <v>810</v>
      </c>
      <c r="D18" s="86">
        <v>30500623</v>
      </c>
      <c r="E18" s="87" t="s">
        <v>811</v>
      </c>
      <c r="F18" s="86" t="s">
        <v>114</v>
      </c>
      <c r="G18" s="86">
        <v>16758</v>
      </c>
      <c r="H18" s="87" t="s">
        <v>206</v>
      </c>
      <c r="I18" s="86">
        <v>6696</v>
      </c>
      <c r="J18" s="87" t="s">
        <v>375</v>
      </c>
      <c r="K18" s="86"/>
      <c r="L18" s="86"/>
      <c r="M18" s="207">
        <v>1059</v>
      </c>
      <c r="N18" s="86" t="s">
        <v>690</v>
      </c>
      <c r="O18" s="86"/>
      <c r="P18" s="86"/>
      <c r="Q18" s="87" t="s">
        <v>92</v>
      </c>
      <c r="R18" s="208"/>
      <c r="S18" s="209"/>
      <c r="T18" s="87"/>
      <c r="U18" s="87"/>
      <c r="V18" s="210"/>
      <c r="W18" s="88">
        <f>Z18*I18/2000</f>
        <v>245.0736</v>
      </c>
      <c r="X18" s="86"/>
      <c r="Y18" s="86">
        <v>1</v>
      </c>
      <c r="Z18" s="86">
        <v>73.2</v>
      </c>
      <c r="AA18" s="86" t="s">
        <v>673</v>
      </c>
      <c r="AB18" s="90" t="s">
        <v>812</v>
      </c>
      <c r="AC18" s="71"/>
      <c r="AD18" s="71"/>
      <c r="AE18" s="71"/>
      <c r="AF18" s="71"/>
      <c r="AG18" s="71"/>
      <c r="AH18" s="71"/>
      <c r="AI18" s="71"/>
    </row>
    <row r="19" spans="1:35" ht="13.5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436" t="s">
        <v>118</v>
      </c>
      <c r="W19" s="437">
        <f>SUM(W10:W18)</f>
        <v>247.16779195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</row>
    <row r="20" spans="1:35" ht="13.5" thickTop="1">
      <c r="A20" s="71"/>
      <c r="B20" s="71"/>
      <c r="C20" s="71" t="s">
        <v>808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10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</row>
    <row r="21" spans="2:35" ht="12.75">
      <c r="B21" s="71"/>
      <c r="C21" s="71" t="s">
        <v>813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10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</row>
    <row r="22" spans="2:35" ht="12.75">
      <c r="B22" s="71"/>
      <c r="C22" s="71" t="s">
        <v>815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10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</row>
    <row r="23" spans="1:35" ht="12.75">
      <c r="A23" s="71"/>
      <c r="B23" s="71"/>
      <c r="C23" s="71" t="s">
        <v>814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10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</row>
    <row r="24" spans="1:35" ht="12.7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10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</row>
    <row r="25" spans="1:35" ht="12.7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10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ht="12.7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10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12.7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10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</row>
    <row r="28" spans="1:35" ht="12.7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0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5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10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</row>
    <row r="30" spans="1:35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10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</row>
    <row r="31" spans="1:35" ht="12.7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10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</row>
    <row r="32" spans="1:3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10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</row>
    <row r="33" spans="1:35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0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</row>
    <row r="34" spans="1:35" ht="12.7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0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35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10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</row>
    <row r="36" spans="1:35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0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</row>
    <row r="37" spans="1:35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0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</row>
    <row r="38" spans="1:35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0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</row>
    <row r="39" spans="1:35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10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</row>
    <row r="40" spans="1:35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10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</row>
    <row r="41" spans="1:35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10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</row>
    <row r="42" spans="1:35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10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</row>
    <row r="43" spans="1:35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10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</row>
    <row r="44" spans="1:35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0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</row>
    <row r="45" spans="1:35" ht="12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10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</row>
    <row r="46" spans="1:35" ht="12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10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</row>
    <row r="47" spans="1:35" ht="12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10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</row>
    <row r="48" spans="1:35" ht="12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10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</row>
    <row r="49" spans="1:35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10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</row>
    <row r="50" spans="1:35" ht="12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10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</row>
    <row r="51" spans="1:35" ht="12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0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</row>
    <row r="52" spans="1:35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10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</row>
    <row r="53" spans="1:35" ht="12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10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</row>
    <row r="54" spans="1:35" ht="12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10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</row>
    <row r="55" spans="1:35" ht="12.7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10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</row>
    <row r="56" spans="1:35" ht="12.7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10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</row>
    <row r="57" spans="1:35" ht="12.7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10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</row>
    <row r="58" spans="1:35" ht="12.7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10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</row>
    <row r="59" spans="1:35" ht="12.7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10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</row>
    <row r="60" spans="1:35" ht="12.7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10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</row>
    <row r="61" spans="1:35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10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</row>
    <row r="62" spans="1:35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10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</row>
    <row r="63" spans="1:35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10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</row>
    <row r="64" spans="1:35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10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</row>
    <row r="65" spans="1:35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0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</row>
    <row r="66" spans="1:35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10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</row>
    <row r="67" spans="1:35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10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</row>
  </sheetData>
  <mergeCells count="24">
    <mergeCell ref="T8:T9"/>
    <mergeCell ref="AB7:AB9"/>
    <mergeCell ref="X7:X9"/>
    <mergeCell ref="Y7:Y9"/>
    <mergeCell ref="Z7:Z9"/>
    <mergeCell ref="AA7:AA9"/>
    <mergeCell ref="T7:U7"/>
    <mergeCell ref="V7:V9"/>
    <mergeCell ref="W7:W9"/>
    <mergeCell ref="U8:U9"/>
    <mergeCell ref="A7:A9"/>
    <mergeCell ref="B7:B9"/>
    <mergeCell ref="C7:C9"/>
    <mergeCell ref="D7:D9"/>
    <mergeCell ref="E7:E9"/>
    <mergeCell ref="F7:F9"/>
    <mergeCell ref="G7:G9"/>
    <mergeCell ref="H7:H9"/>
    <mergeCell ref="I7:L8"/>
    <mergeCell ref="M7:P8"/>
    <mergeCell ref="Q7:Q9"/>
    <mergeCell ref="R7:S7"/>
    <mergeCell ref="R8:R9"/>
    <mergeCell ref="S8:S9"/>
  </mergeCells>
  <printOptions/>
  <pageMargins left="0.25" right="0.16" top="1.69" bottom="1" header="0.5" footer="0.5"/>
  <pageSetup horizontalDpi="600" verticalDpi="600" orientation="landscape" r:id="rId1"/>
  <headerFooter alignWithMargins="0">
    <oddHeader>&amp;L
Holnam Incorporated
Site Name:  Devil's Slide Plant
Site ID:  10007&amp;C&amp;"Arial,Bold"Regional Haze&amp;"Arial,Regular"
1998 Statewide SOx Sources</oddHeader>
    <oddFooter>&amp;R&amp;D
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N1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8515625" style="0" customWidth="1"/>
    <col min="5" max="5" width="14.57421875" style="0" customWidth="1"/>
    <col min="6" max="6" width="8.140625" style="0" customWidth="1"/>
    <col min="7" max="7" width="10.421875" style="0" customWidth="1"/>
    <col min="8" max="8" width="15.57421875" style="0" bestFit="1" customWidth="1"/>
    <col min="10" max="10" width="8.28125" style="0" customWidth="1"/>
    <col min="11" max="11" width="7.7109375" style="0" customWidth="1"/>
    <col min="12" max="12" width="10.00390625" style="0" customWidth="1"/>
    <col min="13" max="13" width="8.28125" style="0" customWidth="1"/>
    <col min="14" max="15" width="7.421875" style="0" customWidth="1"/>
    <col min="16" max="16" width="6.28125" style="0" customWidth="1"/>
    <col min="18" max="18" width="15.57421875" style="0" customWidth="1"/>
    <col min="20" max="20" width="18.7109375" style="0" customWidth="1"/>
    <col min="22" max="22" width="9.7109375" style="0" customWidth="1"/>
    <col min="23" max="23" width="10.421875" style="0" customWidth="1"/>
    <col min="24" max="24" width="11.7109375" style="0" customWidth="1"/>
    <col min="25" max="26" width="8.7109375" style="0" customWidth="1"/>
    <col min="27" max="27" width="11.8515625" style="0" customWidth="1"/>
    <col min="28" max="28" width="11.421875" style="0" customWidth="1"/>
    <col min="29" max="29" width="29.140625" style="0" customWidth="1"/>
  </cols>
  <sheetData>
    <row r="1" spans="1:5" ht="15.75">
      <c r="A1" s="12" t="s">
        <v>41</v>
      </c>
      <c r="B1" s="12"/>
      <c r="E1" s="2" t="s">
        <v>84</v>
      </c>
    </row>
    <row r="2" spans="1:5" ht="15">
      <c r="A2" s="12"/>
      <c r="B2" s="12"/>
      <c r="E2" s="3" t="s">
        <v>816</v>
      </c>
    </row>
    <row r="3" spans="1:3" ht="12.75">
      <c r="A3" s="12" t="s">
        <v>53</v>
      </c>
      <c r="B3" s="12" t="s">
        <v>54</v>
      </c>
      <c r="C3" s="40" t="s">
        <v>43</v>
      </c>
    </row>
    <row r="4" spans="1:2" ht="12.75">
      <c r="A4" s="12">
        <v>10327</v>
      </c>
      <c r="B4" s="12"/>
    </row>
    <row r="5" ht="13.5" thickBot="1"/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14" t="s">
        <v>305</v>
      </c>
      <c r="X6" s="603" t="s">
        <v>74</v>
      </c>
      <c r="Y6" s="56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15"/>
      <c r="X7" s="604"/>
      <c r="Y7" s="605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147" t="s">
        <v>60</v>
      </c>
      <c r="N8" s="63" t="s">
        <v>59</v>
      </c>
      <c r="O8" s="63" t="s">
        <v>61</v>
      </c>
      <c r="P8" s="63" t="s">
        <v>62</v>
      </c>
      <c r="Q8" s="601"/>
      <c r="R8" s="557"/>
      <c r="S8" s="557"/>
      <c r="T8" s="601"/>
      <c r="U8" s="557"/>
      <c r="V8" s="557"/>
      <c r="W8" s="615"/>
      <c r="X8" s="604"/>
      <c r="Y8" s="605"/>
      <c r="Z8" s="557"/>
      <c r="AA8" s="601"/>
      <c r="AB8" s="60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8" ht="12.75">
      <c r="A9" s="224" t="s">
        <v>88</v>
      </c>
      <c r="B9" s="225">
        <v>2381</v>
      </c>
      <c r="C9" s="226" t="s">
        <v>89</v>
      </c>
      <c r="D9" s="227">
        <v>10100201</v>
      </c>
      <c r="E9" s="226" t="s">
        <v>44</v>
      </c>
      <c r="F9" s="228" t="s">
        <v>114</v>
      </c>
      <c r="G9" s="227">
        <v>1709</v>
      </c>
      <c r="H9" s="226" t="s">
        <v>137</v>
      </c>
      <c r="I9" s="227">
        <v>2738752</v>
      </c>
      <c r="J9" s="228" t="s">
        <v>49</v>
      </c>
      <c r="K9" s="228">
        <v>875</v>
      </c>
      <c r="L9" s="229" t="s">
        <v>50</v>
      </c>
      <c r="M9" s="218">
        <v>11823</v>
      </c>
      <c r="N9" s="215" t="s">
        <v>48</v>
      </c>
      <c r="O9" s="215">
        <v>0.55</v>
      </c>
      <c r="P9" s="215">
        <v>10.34</v>
      </c>
      <c r="Q9" s="72" t="s">
        <v>92</v>
      </c>
      <c r="R9" s="72"/>
      <c r="S9" s="72">
        <v>2</v>
      </c>
      <c r="T9" s="72"/>
      <c r="U9" s="72"/>
      <c r="V9" s="72">
        <v>90</v>
      </c>
      <c r="W9" s="217">
        <v>2128.14</v>
      </c>
      <c r="X9" s="234"/>
      <c r="Y9" s="232">
        <v>10</v>
      </c>
      <c r="Z9" s="215"/>
      <c r="AA9" s="215" t="s">
        <v>91</v>
      </c>
      <c r="AB9" s="85" t="s">
        <v>222</v>
      </c>
    </row>
    <row r="10" spans="1:28" ht="12.75">
      <c r="A10" s="230" t="s">
        <v>88</v>
      </c>
      <c r="B10" s="218">
        <v>2382</v>
      </c>
      <c r="C10" s="216" t="s">
        <v>388</v>
      </c>
      <c r="D10" s="215">
        <v>10100201</v>
      </c>
      <c r="E10" s="216" t="s">
        <v>44</v>
      </c>
      <c r="F10" s="72" t="s">
        <v>114</v>
      </c>
      <c r="G10" s="215">
        <v>1710</v>
      </c>
      <c r="H10" s="216" t="s">
        <v>137</v>
      </c>
      <c r="I10" s="215">
        <v>1950168</v>
      </c>
      <c r="J10" s="72" t="s">
        <v>49</v>
      </c>
      <c r="K10" s="72">
        <v>840</v>
      </c>
      <c r="L10" s="85" t="s">
        <v>50</v>
      </c>
      <c r="M10" s="218">
        <v>11860</v>
      </c>
      <c r="N10" s="215" t="s">
        <v>48</v>
      </c>
      <c r="O10" s="215">
        <v>0.52</v>
      </c>
      <c r="P10" s="215">
        <v>9.63</v>
      </c>
      <c r="Q10" s="72" t="s">
        <v>92</v>
      </c>
      <c r="R10" s="72"/>
      <c r="S10" s="72">
        <v>2</v>
      </c>
      <c r="T10" s="72"/>
      <c r="U10" s="72"/>
      <c r="V10" s="72">
        <v>90</v>
      </c>
      <c r="W10" s="217">
        <v>2152.4</v>
      </c>
      <c r="X10" s="234"/>
      <c r="Y10" s="232">
        <v>10</v>
      </c>
      <c r="Z10" s="215"/>
      <c r="AA10" s="215" t="s">
        <v>91</v>
      </c>
      <c r="AB10" s="85" t="s">
        <v>222</v>
      </c>
    </row>
    <row r="11" spans="1:28" ht="12.75">
      <c r="A11" s="230" t="s">
        <v>88</v>
      </c>
      <c r="B11" s="218">
        <v>7237</v>
      </c>
      <c r="C11" s="216" t="s">
        <v>45</v>
      </c>
      <c r="D11" s="215">
        <v>10100201</v>
      </c>
      <c r="E11" s="216" t="s">
        <v>46</v>
      </c>
      <c r="F11" s="72" t="s">
        <v>114</v>
      </c>
      <c r="G11" s="215">
        <v>1709</v>
      </c>
      <c r="H11" s="216" t="s">
        <v>232</v>
      </c>
      <c r="I11" s="215">
        <v>274139</v>
      </c>
      <c r="J11" s="72" t="s">
        <v>442</v>
      </c>
      <c r="K11" s="72"/>
      <c r="L11" s="85"/>
      <c r="M11" s="218">
        <v>137000</v>
      </c>
      <c r="N11" s="215" t="s">
        <v>123</v>
      </c>
      <c r="O11" s="215">
        <v>0.35</v>
      </c>
      <c r="P11" s="215" t="s">
        <v>91</v>
      </c>
      <c r="Q11" s="72" t="s">
        <v>92</v>
      </c>
      <c r="R11" s="72"/>
      <c r="S11" s="72">
        <v>2</v>
      </c>
      <c r="T11" s="72"/>
      <c r="U11" s="72"/>
      <c r="V11" s="72">
        <v>90</v>
      </c>
      <c r="W11" s="217">
        <f>Z11*I11/1000/2000</f>
        <v>0.274139</v>
      </c>
      <c r="X11" s="234"/>
      <c r="Y11" s="232">
        <v>5</v>
      </c>
      <c r="Z11" s="215">
        <v>2</v>
      </c>
      <c r="AA11" s="72" t="s">
        <v>441</v>
      </c>
      <c r="AB11" s="85"/>
    </row>
    <row r="12" spans="1:28" ht="13.5" thickBot="1">
      <c r="A12" s="231" t="s">
        <v>88</v>
      </c>
      <c r="B12" s="219">
        <v>7239</v>
      </c>
      <c r="C12" s="220" t="s">
        <v>47</v>
      </c>
      <c r="D12" s="221">
        <v>10100201</v>
      </c>
      <c r="E12" s="220" t="s">
        <v>46</v>
      </c>
      <c r="F12" s="207" t="s">
        <v>114</v>
      </c>
      <c r="G12" s="221">
        <v>1710</v>
      </c>
      <c r="H12" s="220" t="s">
        <v>232</v>
      </c>
      <c r="I12" s="221">
        <v>306713</v>
      </c>
      <c r="J12" s="207" t="s">
        <v>442</v>
      </c>
      <c r="K12" s="207"/>
      <c r="L12" s="223"/>
      <c r="M12" s="219">
        <v>19197</v>
      </c>
      <c r="N12" s="221" t="s">
        <v>48</v>
      </c>
      <c r="O12" s="221">
        <v>0.35</v>
      </c>
      <c r="P12" s="221" t="s">
        <v>91</v>
      </c>
      <c r="Q12" s="207" t="s">
        <v>92</v>
      </c>
      <c r="R12" s="207"/>
      <c r="S12" s="207">
        <v>2</v>
      </c>
      <c r="T12" s="207"/>
      <c r="U12" s="207"/>
      <c r="V12" s="207">
        <v>90</v>
      </c>
      <c r="W12" s="222">
        <f>Z12*I12/1000/2000</f>
        <v>0.306713</v>
      </c>
      <c r="X12" s="235"/>
      <c r="Y12" s="233">
        <v>5</v>
      </c>
      <c r="Z12" s="221">
        <v>2</v>
      </c>
      <c r="AA12" s="207" t="s">
        <v>441</v>
      </c>
      <c r="AB12" s="223"/>
    </row>
    <row r="13" spans="22:24" ht="13.5" thickBot="1">
      <c r="V13" s="376" t="s">
        <v>118</v>
      </c>
      <c r="W13" s="377">
        <f>SUM(W9:W12)</f>
        <v>4281.120852</v>
      </c>
      <c r="X13" s="29"/>
    </row>
    <row r="14" ht="13.5" thickTop="1"/>
    <row r="15" ht="12.75">
      <c r="A15" t="s">
        <v>443</v>
      </c>
    </row>
    <row r="18" s="7" customFormat="1" ht="12.75"/>
    <row r="19" s="7" customFormat="1" ht="12.75"/>
    <row r="20" s="7" customFormat="1" ht="12.75"/>
    <row r="21" s="7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  <row r="28" s="7" customFormat="1" ht="12.75"/>
    <row r="29" s="7" customFormat="1" ht="12.75"/>
    <row r="30" s="7" customFormat="1" ht="12.75"/>
    <row r="31" s="7" customFormat="1" ht="12.75"/>
    <row r="32" s="7" customFormat="1" ht="12.75"/>
    <row r="33" s="7" customFormat="1" ht="12.75"/>
  </sheetData>
  <mergeCells count="24">
    <mergeCell ref="AB6:AB8"/>
    <mergeCell ref="T6:U6"/>
    <mergeCell ref="V6:V8"/>
    <mergeCell ref="W6:W8"/>
    <mergeCell ref="U7:U8"/>
    <mergeCell ref="T7:T8"/>
    <mergeCell ref="X6:X8"/>
    <mergeCell ref="Y6:Y8"/>
    <mergeCell ref="Z6:Z8"/>
    <mergeCell ref="AA6:AA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75" right="0.75" top="1.65" bottom="1" header="0.5" footer="0.5"/>
  <pageSetup horizontalDpi="600" verticalDpi="600" orientation="landscape" r:id="rId1"/>
  <headerFooter alignWithMargins="0">
    <oddHeader>&amp;L
Intermountain Power Service Corp
Site Name:  Intermountain Power Generation Station
Site ID:  10327&amp;CRegion Haze
1998 Statewaid SOx Source</oddHeader>
    <oddFooter>&amp;R&amp;D
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N27"/>
  <sheetViews>
    <sheetView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customWidth="1"/>
    <col min="7" max="7" width="11.140625" style="0" customWidth="1"/>
    <col min="8" max="8" width="12.421875" style="0" customWidth="1"/>
    <col min="14" max="14" width="6.8515625" style="0" customWidth="1"/>
    <col min="18" max="18" width="17.00390625" style="0" customWidth="1"/>
    <col min="20" max="20" width="19.8515625" style="0" customWidth="1"/>
    <col min="22" max="22" width="10.57421875" style="0" customWidth="1"/>
    <col min="23" max="24" width="11.7109375" style="0" customWidth="1"/>
    <col min="28" max="28" width="29.140625" style="0" customWidth="1"/>
  </cols>
  <sheetData>
    <row r="1" spans="1:5" ht="15.75">
      <c r="A1" s="32" t="s">
        <v>398</v>
      </c>
      <c r="B1" s="12"/>
      <c r="E1" s="2" t="s">
        <v>84</v>
      </c>
    </row>
    <row r="2" spans="1:5" ht="15">
      <c r="A2" s="12"/>
      <c r="B2" s="12"/>
      <c r="E2" s="3" t="s">
        <v>710</v>
      </c>
    </row>
    <row r="3" spans="1:3" ht="12.75">
      <c r="A3" s="12" t="s">
        <v>53</v>
      </c>
      <c r="B3" s="12" t="s">
        <v>54</v>
      </c>
      <c r="C3" s="32" t="s">
        <v>399</v>
      </c>
    </row>
    <row r="4" spans="1:2" ht="12.75">
      <c r="A4" s="39">
        <v>10423</v>
      </c>
      <c r="B4" s="12"/>
    </row>
    <row r="5" ht="13.5" thickBot="1"/>
    <row r="6" spans="1:66" ht="16.5" customHeight="1">
      <c r="A6" s="626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06" t="s">
        <v>305</v>
      </c>
      <c r="X6" s="561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27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07"/>
      <c r="X7" s="605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28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30"/>
      <c r="X8" s="629"/>
      <c r="Y8" s="563"/>
      <c r="Z8" s="563"/>
      <c r="AA8" s="610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8" ht="12.75">
      <c r="A9" s="241">
        <v>12</v>
      </c>
      <c r="B9" s="236">
        <v>1173</v>
      </c>
      <c r="C9" s="228">
        <v>2</v>
      </c>
      <c r="D9" s="228">
        <v>20200102</v>
      </c>
      <c r="E9" s="228" t="s">
        <v>235</v>
      </c>
      <c r="F9" s="228" t="s">
        <v>114</v>
      </c>
      <c r="G9" s="228">
        <v>0</v>
      </c>
      <c r="H9" s="228" t="s">
        <v>232</v>
      </c>
      <c r="I9" s="228">
        <v>3120</v>
      </c>
      <c r="J9" s="228" t="s">
        <v>438</v>
      </c>
      <c r="K9" s="228" t="s">
        <v>133</v>
      </c>
      <c r="L9" s="229"/>
      <c r="M9" s="236">
        <v>0</v>
      </c>
      <c r="N9" s="228" t="s">
        <v>133</v>
      </c>
      <c r="O9" s="228">
        <v>0</v>
      </c>
      <c r="P9" s="228">
        <v>0</v>
      </c>
      <c r="Q9" s="228" t="s">
        <v>408</v>
      </c>
      <c r="R9" s="228"/>
      <c r="S9" s="228"/>
      <c r="T9" s="228"/>
      <c r="U9" s="228"/>
      <c r="V9" s="228"/>
      <c r="W9" s="238">
        <f>Z9*I9/2000</f>
        <v>0.28392</v>
      </c>
      <c r="X9" s="236"/>
      <c r="Y9" s="228">
        <v>3</v>
      </c>
      <c r="Z9" s="228">
        <v>0.182</v>
      </c>
      <c r="AA9" s="228" t="s">
        <v>673</v>
      </c>
      <c r="AB9" s="229" t="s">
        <v>409</v>
      </c>
    </row>
    <row r="10" spans="1:39" s="7" customFormat="1" ht="12.75">
      <c r="A10" s="242">
        <v>2</v>
      </c>
      <c r="B10" s="232">
        <v>2410</v>
      </c>
      <c r="C10" s="72">
        <v>3</v>
      </c>
      <c r="D10" s="72">
        <v>30500311</v>
      </c>
      <c r="E10" s="72" t="s">
        <v>402</v>
      </c>
      <c r="F10" s="72" t="s">
        <v>114</v>
      </c>
      <c r="G10" s="72">
        <v>3526</v>
      </c>
      <c r="H10" s="72" t="s">
        <v>403</v>
      </c>
      <c r="I10" s="72">
        <v>67363</v>
      </c>
      <c r="J10" s="72" t="s">
        <v>588</v>
      </c>
      <c r="K10" s="72">
        <v>113245</v>
      </c>
      <c r="L10" s="85" t="s">
        <v>437</v>
      </c>
      <c r="M10" s="232">
        <v>0</v>
      </c>
      <c r="N10" s="72" t="s">
        <v>133</v>
      </c>
      <c r="O10" s="72"/>
      <c r="P10" s="72"/>
      <c r="Q10" s="72" t="s">
        <v>92</v>
      </c>
      <c r="R10" s="72" t="s">
        <v>400</v>
      </c>
      <c r="S10" s="72">
        <v>1</v>
      </c>
      <c r="T10" s="72"/>
      <c r="U10" s="72"/>
      <c r="V10" s="72">
        <v>99</v>
      </c>
      <c r="W10" s="239">
        <f>Z10*I10/2000</f>
        <v>0.202089</v>
      </c>
      <c r="X10" s="232">
        <v>1.4</v>
      </c>
      <c r="Y10" s="72">
        <v>2</v>
      </c>
      <c r="Z10" s="72">
        <v>0.006</v>
      </c>
      <c r="AA10" s="72" t="s">
        <v>818</v>
      </c>
      <c r="AB10" s="85" t="s">
        <v>817</v>
      </c>
      <c r="AC10"/>
      <c r="AD10"/>
      <c r="AE10"/>
      <c r="AF10"/>
      <c r="AG10"/>
      <c r="AH10"/>
      <c r="AI10"/>
      <c r="AJ10"/>
      <c r="AK10"/>
      <c r="AL10"/>
      <c r="AM10"/>
    </row>
    <row r="11" spans="1:39" s="7" customFormat="1" ht="12.75">
      <c r="A11" s="242">
        <v>2</v>
      </c>
      <c r="B11" s="232">
        <v>2412</v>
      </c>
      <c r="C11" s="72">
        <v>5</v>
      </c>
      <c r="D11" s="72">
        <v>30500311</v>
      </c>
      <c r="E11" s="72" t="s">
        <v>404</v>
      </c>
      <c r="F11" s="72" t="s">
        <v>114</v>
      </c>
      <c r="G11" s="72">
        <v>3528</v>
      </c>
      <c r="H11" s="72" t="s">
        <v>403</v>
      </c>
      <c r="I11" s="72">
        <v>119850</v>
      </c>
      <c r="J11" s="72" t="s">
        <v>588</v>
      </c>
      <c r="K11" s="72">
        <v>145915</v>
      </c>
      <c r="L11" s="85" t="s">
        <v>437</v>
      </c>
      <c r="M11" s="232">
        <v>0</v>
      </c>
      <c r="N11" s="72" t="s">
        <v>133</v>
      </c>
      <c r="O11" s="72"/>
      <c r="P11" s="72"/>
      <c r="Q11" s="72" t="s">
        <v>92</v>
      </c>
      <c r="R11" s="72" t="s">
        <v>401</v>
      </c>
      <c r="S11" s="72">
        <v>3</v>
      </c>
      <c r="T11" s="72"/>
      <c r="U11" s="72"/>
      <c r="V11" s="72">
        <v>80</v>
      </c>
      <c r="W11" s="239">
        <f>Z11*I11/2000</f>
        <v>71.31075</v>
      </c>
      <c r="X11" s="232"/>
      <c r="Y11" s="72">
        <v>2</v>
      </c>
      <c r="Z11" s="72">
        <v>1.19</v>
      </c>
      <c r="AA11" s="72" t="s">
        <v>668</v>
      </c>
      <c r="AB11" s="85" t="s">
        <v>817</v>
      </c>
      <c r="AC11"/>
      <c r="AD11"/>
      <c r="AE11"/>
      <c r="AF11"/>
      <c r="AG11"/>
      <c r="AH11"/>
      <c r="AI11"/>
      <c r="AJ11"/>
      <c r="AK11"/>
      <c r="AL11"/>
      <c r="AM11"/>
    </row>
    <row r="12" spans="1:28" ht="12.75">
      <c r="A12" s="242">
        <v>2</v>
      </c>
      <c r="B12" s="232">
        <v>12558</v>
      </c>
      <c r="C12" s="72">
        <v>6</v>
      </c>
      <c r="D12" s="72">
        <v>30500311</v>
      </c>
      <c r="E12" s="72" t="s">
        <v>405</v>
      </c>
      <c r="F12" s="72" t="s">
        <v>114</v>
      </c>
      <c r="G12" s="72">
        <v>3529</v>
      </c>
      <c r="H12" s="72" t="s">
        <v>206</v>
      </c>
      <c r="I12" s="72">
        <v>9984</v>
      </c>
      <c r="J12" s="72" t="s">
        <v>410</v>
      </c>
      <c r="K12" s="72">
        <v>35040</v>
      </c>
      <c r="L12" s="85" t="s">
        <v>411</v>
      </c>
      <c r="M12" s="232">
        <v>1000</v>
      </c>
      <c r="N12" s="72" t="s">
        <v>690</v>
      </c>
      <c r="O12" s="72"/>
      <c r="P12" s="72"/>
      <c r="Q12" s="72" t="s">
        <v>408</v>
      </c>
      <c r="R12" s="72"/>
      <c r="S12" s="72"/>
      <c r="T12" s="72"/>
      <c r="U12" s="72"/>
      <c r="V12" s="72"/>
      <c r="W12" s="239">
        <f>Z12*I12/1000/2000</f>
        <v>0.0029951999999999995</v>
      </c>
      <c r="X12" s="232"/>
      <c r="Y12" s="72">
        <v>2</v>
      </c>
      <c r="Z12" s="72">
        <v>0.6</v>
      </c>
      <c r="AA12" s="72" t="s">
        <v>669</v>
      </c>
      <c r="AB12" s="85" t="s">
        <v>406</v>
      </c>
    </row>
    <row r="13" spans="1:28" ht="13.5" thickBot="1">
      <c r="A13" s="243">
        <v>2</v>
      </c>
      <c r="B13" s="233">
        <v>12559</v>
      </c>
      <c r="C13" s="207">
        <v>7</v>
      </c>
      <c r="D13" s="207">
        <v>30500311</v>
      </c>
      <c r="E13" s="207" t="s">
        <v>407</v>
      </c>
      <c r="F13" s="207" t="s">
        <v>114</v>
      </c>
      <c r="G13" s="207">
        <v>3530</v>
      </c>
      <c r="H13" s="207" t="s">
        <v>206</v>
      </c>
      <c r="I13" s="207">
        <v>10401</v>
      </c>
      <c r="J13" s="207" t="s">
        <v>410</v>
      </c>
      <c r="K13" s="207">
        <v>70080</v>
      </c>
      <c r="L13" s="223" t="s">
        <v>411</v>
      </c>
      <c r="M13" s="233">
        <v>1000</v>
      </c>
      <c r="N13" s="207" t="s">
        <v>690</v>
      </c>
      <c r="O13" s="207"/>
      <c r="P13" s="207"/>
      <c r="Q13" s="207" t="s">
        <v>408</v>
      </c>
      <c r="R13" s="207"/>
      <c r="S13" s="207"/>
      <c r="T13" s="207"/>
      <c r="U13" s="207"/>
      <c r="V13" s="207"/>
      <c r="W13" s="240">
        <f>Z13*I13/1000/2000</f>
        <v>0.0031203</v>
      </c>
      <c r="X13" s="233"/>
      <c r="Y13" s="207">
        <v>3</v>
      </c>
      <c r="Z13" s="207">
        <v>0.6</v>
      </c>
      <c r="AA13" s="207" t="s">
        <v>669</v>
      </c>
      <c r="AB13" s="223" t="s">
        <v>406</v>
      </c>
    </row>
    <row r="14" spans="1:39" s="7" customFormat="1" ht="13.5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376" t="s">
        <v>118</v>
      </c>
      <c r="W14" s="377">
        <f>SUM(W9:W13)</f>
        <v>71.8028745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ht="13.5" thickTop="1">
      <c r="C15" t="s">
        <v>670</v>
      </c>
    </row>
    <row r="16" ht="12.75">
      <c r="C16">
        <v>1173</v>
      </c>
    </row>
    <row r="17" ht="12.75">
      <c r="D17" t="s">
        <v>671</v>
      </c>
    </row>
    <row r="18" ht="12.75">
      <c r="C18">
        <v>2410</v>
      </c>
    </row>
    <row r="19" ht="12.75">
      <c r="D19" t="s">
        <v>819</v>
      </c>
    </row>
    <row r="20" ht="12.75">
      <c r="C20">
        <v>2412</v>
      </c>
    </row>
    <row r="21" ht="12.75">
      <c r="D21" t="s">
        <v>820</v>
      </c>
    </row>
    <row r="22" ht="12.75">
      <c r="C22">
        <v>12558</v>
      </c>
    </row>
    <row r="23" ht="12.75">
      <c r="D23" t="s">
        <v>672</v>
      </c>
    </row>
    <row r="24" ht="12.75">
      <c r="C24">
        <v>12559</v>
      </c>
    </row>
    <row r="25" ht="12.75">
      <c r="D25" t="s">
        <v>821</v>
      </c>
    </row>
    <row r="27" ht="12.75">
      <c r="C27" t="s">
        <v>1006</v>
      </c>
    </row>
  </sheetData>
  <mergeCells count="24">
    <mergeCell ref="I6:L7"/>
    <mergeCell ref="AB6:AB8"/>
    <mergeCell ref="X6:X8"/>
    <mergeCell ref="Y6:Y8"/>
    <mergeCell ref="Z6:Z8"/>
    <mergeCell ref="AA6:AA8"/>
    <mergeCell ref="V6:V8"/>
    <mergeCell ref="W6:W8"/>
    <mergeCell ref="M6:P7"/>
    <mergeCell ref="Q6:Q8"/>
    <mergeCell ref="E6:E8"/>
    <mergeCell ref="F6:F8"/>
    <mergeCell ref="G6:G8"/>
    <mergeCell ref="H6:H8"/>
    <mergeCell ref="A6:A8"/>
    <mergeCell ref="B6:B8"/>
    <mergeCell ref="C6:C8"/>
    <mergeCell ref="D6:D8"/>
    <mergeCell ref="R6:S6"/>
    <mergeCell ref="T6:U6"/>
    <mergeCell ref="R7:R8"/>
    <mergeCell ref="S7:S8"/>
    <mergeCell ref="T7:T8"/>
    <mergeCell ref="U7:U8"/>
  </mergeCells>
  <printOptions/>
  <pageMargins left="0.28" right="0.16" top="1.24" bottom="1" header="0.5" footer="0.5"/>
  <pageSetup horizontalDpi="600" verticalDpi="600" orientation="landscape" r:id="rId1"/>
  <headerFooter alignWithMargins="0">
    <oddHeader>&amp;LInterstate Brick Company
Site Name:  Brick Manufacturing Plant
Site ID:  10423&amp;C&amp;"Arial,Bold"Regional Haze&amp;"Arial,Regular"
1998 Statewide SOx Sources</oddHeader>
    <oddFooter>&amp;R&amp;D
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N3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7" customWidth="1"/>
    <col min="2" max="2" width="8.7109375" style="7" customWidth="1"/>
    <col min="3" max="3" width="17.57421875" style="7" customWidth="1"/>
    <col min="4" max="4" width="9.8515625" style="7" customWidth="1"/>
    <col min="5" max="5" width="33.00390625" style="7" customWidth="1"/>
    <col min="6" max="6" width="9.28125" style="7" customWidth="1"/>
    <col min="7" max="7" width="11.140625" style="7" customWidth="1"/>
    <col min="8" max="8" width="18.57421875" style="7" customWidth="1"/>
    <col min="9" max="9" width="8.57421875" style="7" customWidth="1"/>
    <col min="10" max="10" width="9.57421875" style="7" customWidth="1"/>
    <col min="11" max="11" width="9.140625" style="7" customWidth="1"/>
    <col min="12" max="12" width="6.00390625" style="7" customWidth="1"/>
    <col min="13" max="13" width="8.421875" style="7" customWidth="1"/>
    <col min="14" max="14" width="8.28125" style="7" customWidth="1"/>
    <col min="15" max="15" width="7.00390625" style="7" customWidth="1"/>
    <col min="16" max="16" width="6.140625" style="7" customWidth="1"/>
    <col min="17" max="17" width="9.140625" style="7" customWidth="1"/>
    <col min="18" max="18" width="20.7109375" style="7" customWidth="1"/>
    <col min="19" max="19" width="9.140625" style="7" customWidth="1"/>
    <col min="20" max="20" width="19.8515625" style="7" customWidth="1"/>
    <col min="21" max="21" width="9.140625" style="7" customWidth="1"/>
    <col min="22" max="23" width="9.8515625" style="7" customWidth="1"/>
    <col min="24" max="24" width="11.57421875" style="7" customWidth="1"/>
    <col min="25" max="26" width="9.140625" style="7" customWidth="1"/>
    <col min="27" max="27" width="15.7109375" style="7" customWidth="1"/>
    <col min="28" max="28" width="46.421875" style="7" customWidth="1"/>
    <col min="29" max="16384" width="9.140625" style="7" customWidth="1"/>
  </cols>
  <sheetData>
    <row r="1" spans="1:5" ht="15.75">
      <c r="A1" s="9" t="s">
        <v>51</v>
      </c>
      <c r="B1" s="9"/>
      <c r="E1" s="2" t="s">
        <v>84</v>
      </c>
    </row>
    <row r="2" spans="1:5" ht="15">
      <c r="A2" s="9"/>
      <c r="B2" s="9"/>
      <c r="E2" s="3" t="s">
        <v>816</v>
      </c>
    </row>
    <row r="3" spans="1:24" ht="12.75">
      <c r="A3" s="9" t="s">
        <v>53</v>
      </c>
      <c r="B3" s="9" t="s">
        <v>54</v>
      </c>
      <c r="C3" s="7" t="s">
        <v>52</v>
      </c>
      <c r="X3" s="249"/>
    </row>
    <row r="4" spans="1:2" ht="12.75">
      <c r="A4" s="9">
        <v>10346</v>
      </c>
      <c r="B4" s="9"/>
    </row>
    <row r="5" ht="13.5" thickBot="1"/>
    <row r="6" spans="1:66" ht="16.5" customHeight="1">
      <c r="A6" s="626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14" t="s">
        <v>305</v>
      </c>
      <c r="X6" s="603" t="s">
        <v>74</v>
      </c>
      <c r="Y6" s="56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27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15"/>
      <c r="X7" s="604"/>
      <c r="Y7" s="605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>
      <c r="A8" s="628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16"/>
      <c r="X8" s="617"/>
      <c r="Y8" s="629"/>
      <c r="Z8" s="563"/>
      <c r="AA8" s="610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8" ht="12.75">
      <c r="A9" s="353" t="s">
        <v>88</v>
      </c>
      <c r="B9" s="99">
        <v>13969</v>
      </c>
      <c r="C9" s="93" t="s">
        <v>414</v>
      </c>
      <c r="D9" s="94">
        <v>30300512</v>
      </c>
      <c r="E9" s="93" t="s">
        <v>415</v>
      </c>
      <c r="F9" s="94" t="s">
        <v>115</v>
      </c>
      <c r="G9" s="94">
        <v>3763</v>
      </c>
      <c r="H9" s="93" t="s">
        <v>416</v>
      </c>
      <c r="I9" s="94">
        <v>8760</v>
      </c>
      <c r="J9" s="93" t="s">
        <v>445</v>
      </c>
      <c r="K9" s="94">
        <v>0</v>
      </c>
      <c r="L9" s="252">
        <v>0</v>
      </c>
      <c r="M9" s="99" t="s">
        <v>91</v>
      </c>
      <c r="N9" s="94">
        <v>0</v>
      </c>
      <c r="O9" s="94">
        <v>0</v>
      </c>
      <c r="P9" s="94">
        <v>0</v>
      </c>
      <c r="Q9" s="93" t="s">
        <v>92</v>
      </c>
      <c r="R9" s="93" t="s">
        <v>446</v>
      </c>
      <c r="S9" s="93">
        <v>10</v>
      </c>
      <c r="T9" s="93" t="s">
        <v>447</v>
      </c>
      <c r="U9" s="93">
        <v>1</v>
      </c>
      <c r="V9" s="93"/>
      <c r="W9" s="244">
        <f aca="true" t="shared" si="0" ref="W9:W14">Z9*I9/2000</f>
        <v>781.83</v>
      </c>
      <c r="X9" s="252">
        <v>5.4</v>
      </c>
      <c r="Y9" s="99">
        <v>10</v>
      </c>
      <c r="Z9" s="94">
        <v>178.5</v>
      </c>
      <c r="AA9" s="93" t="s">
        <v>394</v>
      </c>
      <c r="AB9" s="95" t="s">
        <v>832</v>
      </c>
    </row>
    <row r="10" spans="1:28" ht="12.75">
      <c r="A10" s="353" t="s">
        <v>88</v>
      </c>
      <c r="B10" s="99">
        <v>13993</v>
      </c>
      <c r="C10" s="93" t="s">
        <v>417</v>
      </c>
      <c r="D10" s="94">
        <v>10200602</v>
      </c>
      <c r="E10" s="93" t="s">
        <v>418</v>
      </c>
      <c r="F10" s="94" t="s">
        <v>115</v>
      </c>
      <c r="G10" s="94">
        <v>0</v>
      </c>
      <c r="H10" s="93" t="s">
        <v>419</v>
      </c>
      <c r="I10" s="94">
        <v>568.7</v>
      </c>
      <c r="J10" s="93" t="s">
        <v>688</v>
      </c>
      <c r="K10" s="94">
        <v>0</v>
      </c>
      <c r="L10" s="252">
        <v>0</v>
      </c>
      <c r="M10" s="99">
        <v>0</v>
      </c>
      <c r="N10" s="94">
        <v>0</v>
      </c>
      <c r="O10" s="94">
        <v>0</v>
      </c>
      <c r="P10" s="94">
        <v>0</v>
      </c>
      <c r="Q10" s="93" t="s">
        <v>92</v>
      </c>
      <c r="R10" s="64"/>
      <c r="S10" s="64"/>
      <c r="T10" s="93"/>
      <c r="U10" s="93"/>
      <c r="V10" s="94"/>
      <c r="W10" s="244">
        <f t="shared" si="0"/>
        <v>0.17061</v>
      </c>
      <c r="X10" s="252">
        <v>0</v>
      </c>
      <c r="Y10" s="99">
        <v>3</v>
      </c>
      <c r="Z10" s="94">
        <v>0.6</v>
      </c>
      <c r="AA10" s="93" t="s">
        <v>444</v>
      </c>
      <c r="AB10" s="95" t="s">
        <v>91</v>
      </c>
    </row>
    <row r="11" spans="1:28" ht="12.75">
      <c r="A11" s="353" t="s">
        <v>88</v>
      </c>
      <c r="B11" s="99">
        <v>13994</v>
      </c>
      <c r="C11" s="93" t="s">
        <v>420</v>
      </c>
      <c r="D11" s="94">
        <v>10200602</v>
      </c>
      <c r="E11" s="93" t="s">
        <v>418</v>
      </c>
      <c r="F11" s="94" t="s">
        <v>115</v>
      </c>
      <c r="G11" s="94">
        <v>0</v>
      </c>
      <c r="H11" s="93" t="s">
        <v>122</v>
      </c>
      <c r="I11" s="94">
        <v>1.53</v>
      </c>
      <c r="J11" s="93" t="s">
        <v>448</v>
      </c>
      <c r="K11" s="94">
        <v>0</v>
      </c>
      <c r="L11" s="252">
        <v>0</v>
      </c>
      <c r="M11" s="99">
        <v>0</v>
      </c>
      <c r="N11" s="94">
        <v>0</v>
      </c>
      <c r="O11" s="94">
        <v>0</v>
      </c>
      <c r="P11" s="94">
        <v>0</v>
      </c>
      <c r="Q11" s="93" t="s">
        <v>92</v>
      </c>
      <c r="R11" s="93"/>
      <c r="S11" s="93"/>
      <c r="T11" s="93"/>
      <c r="U11" s="93"/>
      <c r="V11" s="94"/>
      <c r="W11" s="244">
        <f t="shared" si="0"/>
        <v>0.0054315</v>
      </c>
      <c r="X11" s="252">
        <v>0</v>
      </c>
      <c r="Y11" s="99">
        <v>3</v>
      </c>
      <c r="Z11" s="94">
        <v>7.1</v>
      </c>
      <c r="AA11" s="93" t="s">
        <v>449</v>
      </c>
      <c r="AB11" s="95" t="s">
        <v>91</v>
      </c>
    </row>
    <row r="12" spans="1:28" ht="12.75">
      <c r="A12" s="353" t="s">
        <v>88</v>
      </c>
      <c r="B12" s="99">
        <v>13998</v>
      </c>
      <c r="C12" s="93" t="s">
        <v>421</v>
      </c>
      <c r="D12" s="94">
        <v>30300599</v>
      </c>
      <c r="E12" s="93" t="s">
        <v>422</v>
      </c>
      <c r="F12" s="94" t="s">
        <v>114</v>
      </c>
      <c r="G12" s="94">
        <v>3776</v>
      </c>
      <c r="H12" s="93" t="s">
        <v>133</v>
      </c>
      <c r="I12" s="94">
        <v>8760</v>
      </c>
      <c r="J12" s="93" t="s">
        <v>445</v>
      </c>
      <c r="K12" s="94">
        <v>0</v>
      </c>
      <c r="L12" s="252">
        <v>0</v>
      </c>
      <c r="M12" s="99">
        <v>0</v>
      </c>
      <c r="N12" s="94">
        <v>0</v>
      </c>
      <c r="O12" s="94">
        <v>0</v>
      </c>
      <c r="P12" s="94">
        <v>0</v>
      </c>
      <c r="Q12" s="93" t="s">
        <v>92</v>
      </c>
      <c r="R12" s="93" t="s">
        <v>450</v>
      </c>
      <c r="S12" s="93">
        <v>13</v>
      </c>
      <c r="T12" s="93"/>
      <c r="U12" s="93"/>
      <c r="V12" s="94">
        <v>99</v>
      </c>
      <c r="W12" s="244">
        <f t="shared" si="0"/>
        <v>0.00876</v>
      </c>
      <c r="X12" s="252">
        <v>0</v>
      </c>
      <c r="Y12" s="99">
        <v>1</v>
      </c>
      <c r="Z12" s="94">
        <v>0.002</v>
      </c>
      <c r="AA12" s="93" t="s">
        <v>451</v>
      </c>
      <c r="AB12" s="95" t="s">
        <v>91</v>
      </c>
    </row>
    <row r="13" spans="1:28" ht="12.75">
      <c r="A13" s="353" t="s">
        <v>105</v>
      </c>
      <c r="B13" s="99">
        <v>14085</v>
      </c>
      <c r="C13" s="93" t="s">
        <v>423</v>
      </c>
      <c r="D13" s="94">
        <v>10500106</v>
      </c>
      <c r="E13" s="93" t="s">
        <v>424</v>
      </c>
      <c r="F13" s="94" t="s">
        <v>114</v>
      </c>
      <c r="G13" s="94">
        <v>0</v>
      </c>
      <c r="H13" s="93" t="s">
        <v>419</v>
      </c>
      <c r="I13" s="94">
        <v>20</v>
      </c>
      <c r="J13" s="93" t="s">
        <v>688</v>
      </c>
      <c r="K13" s="94">
        <v>0</v>
      </c>
      <c r="L13" s="252">
        <v>0</v>
      </c>
      <c r="M13" s="99">
        <v>0</v>
      </c>
      <c r="N13" s="94">
        <v>0</v>
      </c>
      <c r="O13" s="94">
        <v>0</v>
      </c>
      <c r="P13" s="94">
        <v>0</v>
      </c>
      <c r="Q13" s="93" t="s">
        <v>92</v>
      </c>
      <c r="R13" s="93"/>
      <c r="S13" s="93"/>
      <c r="T13" s="93"/>
      <c r="U13" s="93"/>
      <c r="V13" s="94"/>
      <c r="W13" s="244">
        <f t="shared" si="0"/>
        <v>0.006</v>
      </c>
      <c r="X13" s="252" t="s">
        <v>91</v>
      </c>
      <c r="Y13" s="99">
        <v>3</v>
      </c>
      <c r="Z13" s="94">
        <v>0.6</v>
      </c>
      <c r="AA13" s="93" t="s">
        <v>444</v>
      </c>
      <c r="AB13" s="95" t="s">
        <v>91</v>
      </c>
    </row>
    <row r="14" spans="1:28" ht="12.75">
      <c r="A14" s="353" t="s">
        <v>105</v>
      </c>
      <c r="B14" s="99">
        <v>14086</v>
      </c>
      <c r="C14" s="93" t="s">
        <v>425</v>
      </c>
      <c r="D14" s="94">
        <v>10200603</v>
      </c>
      <c r="E14" s="93" t="s">
        <v>426</v>
      </c>
      <c r="F14" s="94" t="s">
        <v>114</v>
      </c>
      <c r="G14" s="94">
        <v>0</v>
      </c>
      <c r="H14" s="93" t="s">
        <v>419</v>
      </c>
      <c r="I14" s="94">
        <v>10</v>
      </c>
      <c r="J14" s="93" t="s">
        <v>688</v>
      </c>
      <c r="K14" s="94">
        <v>0</v>
      </c>
      <c r="L14" s="252">
        <v>0</v>
      </c>
      <c r="M14" s="99">
        <v>0</v>
      </c>
      <c r="N14" s="94">
        <v>0</v>
      </c>
      <c r="O14" s="94">
        <v>0</v>
      </c>
      <c r="P14" s="94">
        <v>0</v>
      </c>
      <c r="Q14" s="93" t="s">
        <v>92</v>
      </c>
      <c r="R14" s="93"/>
      <c r="S14" s="93"/>
      <c r="T14" s="93"/>
      <c r="U14" s="93"/>
      <c r="V14" s="94"/>
      <c r="W14" s="244">
        <f t="shared" si="0"/>
        <v>0.003</v>
      </c>
      <c r="X14" s="252" t="s">
        <v>91</v>
      </c>
      <c r="Y14" s="99">
        <v>3</v>
      </c>
      <c r="Z14" s="94">
        <v>0.6</v>
      </c>
      <c r="AA14" s="93" t="s">
        <v>444</v>
      </c>
      <c r="AB14" s="95" t="s">
        <v>91</v>
      </c>
    </row>
    <row r="15" spans="1:28" ht="12.75">
      <c r="A15" s="353" t="s">
        <v>202</v>
      </c>
      <c r="B15" s="99">
        <v>14095</v>
      </c>
      <c r="C15" s="93" t="s">
        <v>427</v>
      </c>
      <c r="D15" s="94">
        <v>20200102</v>
      </c>
      <c r="E15" s="93" t="s">
        <v>428</v>
      </c>
      <c r="F15" s="94" t="s">
        <v>114</v>
      </c>
      <c r="G15" s="94">
        <v>0</v>
      </c>
      <c r="H15" s="93" t="s">
        <v>232</v>
      </c>
      <c r="I15" s="94">
        <v>52</v>
      </c>
      <c r="J15" s="93" t="s">
        <v>445</v>
      </c>
      <c r="K15" s="94">
        <v>2000</v>
      </c>
      <c r="L15" s="252" t="s">
        <v>453</v>
      </c>
      <c r="M15" s="99">
        <v>0</v>
      </c>
      <c r="N15" s="94">
        <v>0</v>
      </c>
      <c r="O15" s="94">
        <v>0</v>
      </c>
      <c r="P15" s="94">
        <v>0</v>
      </c>
      <c r="Q15" s="93" t="s">
        <v>92</v>
      </c>
      <c r="R15" s="64"/>
      <c r="S15" s="64"/>
      <c r="T15" s="93"/>
      <c r="U15" s="93"/>
      <c r="V15" s="94">
        <v>99</v>
      </c>
      <c r="W15" s="244">
        <f>Z15*I15*K15*0.0011023</f>
        <v>0.028201243200000007</v>
      </c>
      <c r="X15" s="252" t="s">
        <v>91</v>
      </c>
      <c r="Y15" s="99">
        <v>3</v>
      </c>
      <c r="Z15" s="94">
        <v>0.000246</v>
      </c>
      <c r="AA15" s="93" t="s">
        <v>452</v>
      </c>
      <c r="AB15" s="95" t="s">
        <v>454</v>
      </c>
    </row>
    <row r="16" spans="1:28" ht="12.75">
      <c r="A16" s="353" t="s">
        <v>202</v>
      </c>
      <c r="B16" s="99">
        <v>14096</v>
      </c>
      <c r="C16" s="93" t="s">
        <v>429</v>
      </c>
      <c r="D16" s="94">
        <v>20200102</v>
      </c>
      <c r="E16" s="93" t="s">
        <v>428</v>
      </c>
      <c r="F16" s="94" t="s">
        <v>114</v>
      </c>
      <c r="G16" s="94">
        <v>0</v>
      </c>
      <c r="H16" s="93" t="s">
        <v>232</v>
      </c>
      <c r="I16" s="94">
        <v>52</v>
      </c>
      <c r="J16" s="93" t="s">
        <v>445</v>
      </c>
      <c r="K16" s="94">
        <v>2000</v>
      </c>
      <c r="L16" s="252" t="s">
        <v>453</v>
      </c>
      <c r="M16" s="99">
        <v>0</v>
      </c>
      <c r="N16" s="94">
        <v>0</v>
      </c>
      <c r="O16" s="94">
        <v>0</v>
      </c>
      <c r="P16" s="94">
        <v>0</v>
      </c>
      <c r="Q16" s="93" t="s">
        <v>92</v>
      </c>
      <c r="R16" s="93"/>
      <c r="S16" s="93"/>
      <c r="T16" s="93"/>
      <c r="U16" s="93"/>
      <c r="V16" s="93"/>
      <c r="W16" s="244">
        <f>Z16*I16*K16*0.0011023</f>
        <v>0.028201243200000007</v>
      </c>
      <c r="X16" s="252" t="s">
        <v>91</v>
      </c>
      <c r="Y16" s="99">
        <v>3</v>
      </c>
      <c r="Z16" s="94">
        <v>0.000246</v>
      </c>
      <c r="AA16" s="93" t="s">
        <v>452</v>
      </c>
      <c r="AB16" s="95" t="s">
        <v>454</v>
      </c>
    </row>
    <row r="17" spans="1:28" ht="12.75">
      <c r="A17" s="353" t="s">
        <v>202</v>
      </c>
      <c r="B17" s="99">
        <v>14097</v>
      </c>
      <c r="C17" s="93" t="s">
        <v>430</v>
      </c>
      <c r="D17" s="94">
        <v>20200102</v>
      </c>
      <c r="E17" s="93" t="s">
        <v>428</v>
      </c>
      <c r="F17" s="94" t="s">
        <v>114</v>
      </c>
      <c r="G17" s="94">
        <v>0</v>
      </c>
      <c r="H17" s="93" t="s">
        <v>232</v>
      </c>
      <c r="I17" s="94">
        <v>0</v>
      </c>
      <c r="J17" s="93" t="s">
        <v>445</v>
      </c>
      <c r="K17" s="94">
        <v>261</v>
      </c>
      <c r="L17" s="252" t="s">
        <v>453</v>
      </c>
      <c r="M17" s="99">
        <v>0</v>
      </c>
      <c r="N17" s="94">
        <v>0</v>
      </c>
      <c r="O17" s="94">
        <v>0</v>
      </c>
      <c r="P17" s="94">
        <v>0</v>
      </c>
      <c r="Q17" s="93" t="s">
        <v>92</v>
      </c>
      <c r="R17" s="93"/>
      <c r="S17" s="93"/>
      <c r="T17" s="93"/>
      <c r="U17" s="93"/>
      <c r="V17" s="93"/>
      <c r="W17" s="244">
        <f>Z17*I17*K17*0.0011023</f>
        <v>0</v>
      </c>
      <c r="X17" s="252" t="s">
        <v>91</v>
      </c>
      <c r="Y17" s="99">
        <v>3</v>
      </c>
      <c r="Z17" s="94">
        <v>0.001246</v>
      </c>
      <c r="AA17" s="93" t="s">
        <v>455</v>
      </c>
      <c r="AB17" s="95" t="s">
        <v>454</v>
      </c>
    </row>
    <row r="18" spans="1:28" ht="12.75">
      <c r="A18" s="353" t="s">
        <v>202</v>
      </c>
      <c r="B18" s="99">
        <v>14105</v>
      </c>
      <c r="C18" s="93" t="s">
        <v>431</v>
      </c>
      <c r="D18" s="94">
        <v>20300102</v>
      </c>
      <c r="E18" s="93" t="s">
        <v>432</v>
      </c>
      <c r="F18" s="94" t="s">
        <v>114</v>
      </c>
      <c r="G18" s="94">
        <v>0</v>
      </c>
      <c r="H18" s="93" t="s">
        <v>232</v>
      </c>
      <c r="I18" s="94">
        <v>35</v>
      </c>
      <c r="J18" s="93" t="s">
        <v>445</v>
      </c>
      <c r="K18" s="94">
        <v>488</v>
      </c>
      <c r="L18" s="252" t="s">
        <v>457</v>
      </c>
      <c r="M18" s="99">
        <v>0</v>
      </c>
      <c r="N18" s="94">
        <v>0</v>
      </c>
      <c r="O18" s="94">
        <v>0</v>
      </c>
      <c r="P18" s="94">
        <v>0</v>
      </c>
      <c r="Q18" s="93" t="s">
        <v>92</v>
      </c>
      <c r="R18" s="93"/>
      <c r="S18" s="93"/>
      <c r="T18" s="93"/>
      <c r="U18" s="93"/>
      <c r="V18" s="93"/>
      <c r="W18" s="244">
        <f>(Z18*(I18*K18)/1000)/2000</f>
        <v>0.017934000000000002</v>
      </c>
      <c r="X18" s="252" t="s">
        <v>91</v>
      </c>
      <c r="Y18" s="99">
        <v>3</v>
      </c>
      <c r="Z18" s="94">
        <v>2.1</v>
      </c>
      <c r="AA18" s="93" t="s">
        <v>456</v>
      </c>
      <c r="AB18" s="95" t="s">
        <v>458</v>
      </c>
    </row>
    <row r="19" spans="1:28" ht="12.75">
      <c r="A19" s="484" t="s">
        <v>105</v>
      </c>
      <c r="B19" s="478">
        <v>14180</v>
      </c>
      <c r="C19" s="479" t="s">
        <v>433</v>
      </c>
      <c r="D19" s="480">
        <v>30300510</v>
      </c>
      <c r="E19" s="479" t="s">
        <v>844</v>
      </c>
      <c r="F19" s="480" t="s">
        <v>114</v>
      </c>
      <c r="G19" s="480">
        <v>0</v>
      </c>
      <c r="H19" s="479" t="s">
        <v>133</v>
      </c>
      <c r="I19" s="480">
        <v>8760</v>
      </c>
      <c r="J19" s="479" t="s">
        <v>445</v>
      </c>
      <c r="K19" s="480">
        <v>0</v>
      </c>
      <c r="L19" s="481">
        <v>0</v>
      </c>
      <c r="M19" s="478">
        <v>0</v>
      </c>
      <c r="N19" s="480">
        <v>0</v>
      </c>
      <c r="O19" s="480">
        <v>0</v>
      </c>
      <c r="P19" s="480">
        <v>0</v>
      </c>
      <c r="Q19" s="479" t="s">
        <v>92</v>
      </c>
      <c r="R19" s="479"/>
      <c r="S19" s="479"/>
      <c r="T19" s="479"/>
      <c r="U19" s="479"/>
      <c r="V19" s="479"/>
      <c r="W19" s="482">
        <f>Z19*I19/2000</f>
        <v>157.68</v>
      </c>
      <c r="X19" s="481" t="s">
        <v>91</v>
      </c>
      <c r="Y19" s="478">
        <v>5</v>
      </c>
      <c r="Z19" s="480">
        <v>36</v>
      </c>
      <c r="AA19" s="479" t="s">
        <v>394</v>
      </c>
      <c r="AB19" s="483" t="s">
        <v>459</v>
      </c>
    </row>
    <row r="20" spans="1:28" ht="12.75">
      <c r="A20" s="353" t="s">
        <v>88</v>
      </c>
      <c r="B20" s="99">
        <v>14524</v>
      </c>
      <c r="C20" s="93" t="s">
        <v>434</v>
      </c>
      <c r="D20" s="94">
        <v>10200603</v>
      </c>
      <c r="E20" s="93" t="s">
        <v>435</v>
      </c>
      <c r="F20" s="94" t="s">
        <v>114</v>
      </c>
      <c r="G20" s="94">
        <v>0</v>
      </c>
      <c r="H20" s="93" t="s">
        <v>206</v>
      </c>
      <c r="I20" s="94">
        <v>10</v>
      </c>
      <c r="J20" s="93" t="s">
        <v>688</v>
      </c>
      <c r="K20" s="94">
        <v>0</v>
      </c>
      <c r="L20" s="94">
        <v>0</v>
      </c>
      <c r="M20" s="94">
        <v>1035</v>
      </c>
      <c r="N20" s="94" t="s">
        <v>120</v>
      </c>
      <c r="O20" s="94">
        <v>0</v>
      </c>
      <c r="P20" s="94">
        <v>0</v>
      </c>
      <c r="Q20" s="93" t="s">
        <v>92</v>
      </c>
      <c r="R20" s="93"/>
      <c r="S20" s="93"/>
      <c r="T20" s="93"/>
      <c r="U20" s="93"/>
      <c r="V20" s="93"/>
      <c r="W20" s="244">
        <f>Z20*I20/2000</f>
        <v>0.003</v>
      </c>
      <c r="X20" s="94" t="s">
        <v>91</v>
      </c>
      <c r="Y20" s="94">
        <v>3</v>
      </c>
      <c r="Z20" s="94">
        <v>0.6</v>
      </c>
      <c r="AA20" s="93" t="s">
        <v>444</v>
      </c>
      <c r="AB20" s="95" t="s">
        <v>91</v>
      </c>
    </row>
    <row r="21" spans="1:28" ht="12.75">
      <c r="A21" s="353">
        <v>2</v>
      </c>
      <c r="B21" s="99">
        <v>13970</v>
      </c>
      <c r="C21" s="93" t="s">
        <v>830</v>
      </c>
      <c r="D21" s="94">
        <v>30500599</v>
      </c>
      <c r="E21" s="93" t="s">
        <v>831</v>
      </c>
      <c r="F21" s="94" t="s">
        <v>114</v>
      </c>
      <c r="G21" s="94">
        <v>3763</v>
      </c>
      <c r="H21" s="93" t="s">
        <v>206</v>
      </c>
      <c r="I21" s="94">
        <v>1.503</v>
      </c>
      <c r="J21" s="93" t="s">
        <v>688</v>
      </c>
      <c r="K21" s="94"/>
      <c r="L21" s="94"/>
      <c r="M21" s="94">
        <v>1035</v>
      </c>
      <c r="N21" s="94" t="s">
        <v>120</v>
      </c>
      <c r="O21" s="94">
        <v>0</v>
      </c>
      <c r="P21" s="94">
        <v>0</v>
      </c>
      <c r="Q21" s="93" t="s">
        <v>92</v>
      </c>
      <c r="R21" s="93"/>
      <c r="S21" s="93"/>
      <c r="T21" s="93"/>
      <c r="U21" s="93"/>
      <c r="V21" s="93"/>
      <c r="W21" s="244">
        <f>Z21*I21/2000</f>
        <v>0.00045089999999999996</v>
      </c>
      <c r="X21" s="94"/>
      <c r="Y21" s="94">
        <v>3</v>
      </c>
      <c r="Z21" s="94">
        <v>0.6</v>
      </c>
      <c r="AA21" s="93" t="s">
        <v>444</v>
      </c>
      <c r="AB21" s="95"/>
    </row>
    <row r="22" spans="1:28" ht="12.75">
      <c r="A22" s="353">
        <v>2</v>
      </c>
      <c r="B22" s="99">
        <v>21056</v>
      </c>
      <c r="C22" s="93" t="s">
        <v>833</v>
      </c>
      <c r="D22" s="94">
        <v>10200602</v>
      </c>
      <c r="E22" s="93" t="s">
        <v>834</v>
      </c>
      <c r="F22" s="94" t="s">
        <v>115</v>
      </c>
      <c r="G22" s="94"/>
      <c r="H22" s="93"/>
      <c r="I22" s="94">
        <v>514.53</v>
      </c>
      <c r="J22" s="93" t="s">
        <v>688</v>
      </c>
      <c r="K22" s="94"/>
      <c r="L22" s="94"/>
      <c r="M22" s="94">
        <v>1035</v>
      </c>
      <c r="N22" s="94" t="s">
        <v>120</v>
      </c>
      <c r="O22" s="94">
        <v>0</v>
      </c>
      <c r="P22" s="94">
        <v>0</v>
      </c>
      <c r="Q22" s="93" t="s">
        <v>92</v>
      </c>
      <c r="R22" s="93"/>
      <c r="S22" s="93"/>
      <c r="T22" s="93"/>
      <c r="U22" s="93"/>
      <c r="V22" s="93"/>
      <c r="W22" s="244">
        <f>Z22*I22/2000</f>
        <v>0.15435899999999997</v>
      </c>
      <c r="X22" s="94"/>
      <c r="Y22" s="94">
        <v>3</v>
      </c>
      <c r="Z22" s="94">
        <v>0.6</v>
      </c>
      <c r="AA22" s="93" t="s">
        <v>444</v>
      </c>
      <c r="AB22" s="95"/>
    </row>
    <row r="23" spans="1:28" ht="12.75">
      <c r="A23" s="353">
        <v>6</v>
      </c>
      <c r="B23" s="99">
        <v>18017</v>
      </c>
      <c r="C23" s="93" t="s">
        <v>837</v>
      </c>
      <c r="D23" s="94">
        <v>30300505</v>
      </c>
      <c r="E23" s="93" t="s">
        <v>838</v>
      </c>
      <c r="F23" s="94" t="s">
        <v>114</v>
      </c>
      <c r="G23" s="94"/>
      <c r="H23" s="93" t="s">
        <v>839</v>
      </c>
      <c r="I23" s="94"/>
      <c r="J23" s="93"/>
      <c r="K23" s="94"/>
      <c r="L23" s="94"/>
      <c r="M23" s="94"/>
      <c r="N23" s="94"/>
      <c r="O23" s="94"/>
      <c r="P23" s="94"/>
      <c r="Q23" s="93" t="s">
        <v>92</v>
      </c>
      <c r="R23" s="93"/>
      <c r="S23" s="93"/>
      <c r="T23" s="93"/>
      <c r="U23" s="93"/>
      <c r="V23" s="93"/>
      <c r="W23" s="244">
        <v>9.45</v>
      </c>
      <c r="X23" s="94"/>
      <c r="Y23" s="94">
        <v>4</v>
      </c>
      <c r="Z23" s="94"/>
      <c r="AA23" s="93"/>
      <c r="AB23" s="95" t="s">
        <v>840</v>
      </c>
    </row>
    <row r="24" spans="1:28" ht="13.5" thickBot="1">
      <c r="A24" s="354">
        <v>6</v>
      </c>
      <c r="B24" s="100">
        <v>21062</v>
      </c>
      <c r="C24" s="96" t="s">
        <v>841</v>
      </c>
      <c r="D24" s="97"/>
      <c r="E24" s="96" t="s">
        <v>843</v>
      </c>
      <c r="F24" s="97" t="s">
        <v>114</v>
      </c>
      <c r="G24" s="97"/>
      <c r="H24" s="96" t="s">
        <v>842</v>
      </c>
      <c r="I24" s="97"/>
      <c r="J24" s="96"/>
      <c r="K24" s="97"/>
      <c r="L24" s="97"/>
      <c r="M24" s="97"/>
      <c r="N24" s="97"/>
      <c r="O24" s="97"/>
      <c r="P24" s="97"/>
      <c r="Q24" s="96" t="s">
        <v>92</v>
      </c>
      <c r="R24" s="96"/>
      <c r="S24" s="96"/>
      <c r="T24" s="96"/>
      <c r="U24" s="96"/>
      <c r="V24" s="96"/>
      <c r="W24" s="248">
        <v>0.13</v>
      </c>
      <c r="X24" s="97"/>
      <c r="Y24" s="97">
        <v>4</v>
      </c>
      <c r="Z24" s="97"/>
      <c r="AA24" s="96"/>
      <c r="AB24" s="98" t="s">
        <v>840</v>
      </c>
    </row>
    <row r="25" spans="1:28" ht="13.5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374" t="s">
        <v>412</v>
      </c>
      <c r="W25" s="528">
        <f>SUM(W9:W24)</f>
        <v>949.5159478864001</v>
      </c>
      <c r="X25" s="61"/>
      <c r="Y25" s="61"/>
      <c r="Z25" s="61"/>
      <c r="AA25" s="61"/>
      <c r="AB25" s="61"/>
    </row>
    <row r="26" ht="13.5" thickTop="1">
      <c r="C26" s="7" t="s">
        <v>845</v>
      </c>
    </row>
    <row r="27" ht="12.75">
      <c r="C27" s="7" t="s">
        <v>835</v>
      </c>
    </row>
    <row r="28" ht="12.75">
      <c r="C28" s="7" t="s">
        <v>836</v>
      </c>
    </row>
    <row r="29" ht="12.75">
      <c r="C29" s="7" t="s">
        <v>846</v>
      </c>
    </row>
    <row r="30" spans="1:15" ht="12.75">
      <c r="A30" s="4"/>
      <c r="B30" s="4"/>
      <c r="C30" s="5"/>
      <c r="D30" s="5"/>
      <c r="E30" s="4"/>
      <c r="F30" s="5"/>
      <c r="G30" s="5"/>
      <c r="H30" s="4"/>
      <c r="I30" s="4"/>
      <c r="J30" s="6"/>
      <c r="K30" s="5"/>
      <c r="L30" s="5"/>
      <c r="M30" s="4"/>
      <c r="N30" s="5"/>
      <c r="O30" s="4"/>
    </row>
  </sheetData>
  <mergeCells count="24"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T7:T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57" right="1" top="1.56" bottom="1" header="0.5" footer="0.5"/>
  <pageSetup horizontalDpi="600" verticalDpi="600" orientation="landscape" r:id="rId3"/>
  <headerFooter alignWithMargins="0">
    <oddHeader>&amp;L
Kennecott Utah Copper Corp.
Site Name:  Smelter, Refinery, Lab
Site ID:  10346&amp;CRegional Haze
1998 Statewide SOx Source</oddHeader>
    <oddFooter>&amp;R&amp;D
Page 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N30"/>
  <sheetViews>
    <sheetView workbookViewId="0" topLeftCell="A1">
      <selection activeCell="A1" sqref="A1"/>
    </sheetView>
  </sheetViews>
  <sheetFormatPr defaultColWidth="9.140625" defaultRowHeight="12.75"/>
  <cols>
    <col min="1" max="2" width="7.140625" style="0" customWidth="1"/>
    <col min="3" max="3" width="8.421875" style="0" customWidth="1"/>
    <col min="4" max="4" width="9.00390625" style="0" customWidth="1"/>
    <col min="5" max="5" width="17.00390625" style="0" customWidth="1"/>
    <col min="6" max="6" width="8.28125" style="0" customWidth="1"/>
    <col min="7" max="7" width="10.57421875" style="0" customWidth="1"/>
    <col min="8" max="8" width="14.421875" style="0" customWidth="1"/>
    <col min="10" max="10" width="13.7109375" style="0" customWidth="1"/>
    <col min="11" max="11" width="7.140625" style="0" customWidth="1"/>
    <col min="14" max="14" width="6.57421875" style="0" customWidth="1"/>
    <col min="15" max="15" width="6.7109375" style="0" customWidth="1"/>
    <col min="16" max="16" width="5.00390625" style="0" customWidth="1"/>
    <col min="18" max="18" width="15.28125" style="0" customWidth="1"/>
    <col min="19" max="19" width="9.421875" style="0" customWidth="1"/>
    <col min="20" max="20" width="11.421875" style="0" customWidth="1"/>
    <col min="22" max="22" width="9.7109375" style="0" customWidth="1"/>
    <col min="23" max="23" width="2.00390625" style="0" customWidth="1"/>
    <col min="24" max="25" width="11.7109375" style="0" customWidth="1"/>
    <col min="27" max="27" width="1.8515625" style="0" customWidth="1"/>
    <col min="29" max="29" width="17.28125" style="0" customWidth="1"/>
    <col min="30" max="30" width="29.140625" style="0" customWidth="1"/>
  </cols>
  <sheetData>
    <row r="1" spans="1:5" s="7" customFormat="1" ht="15.75">
      <c r="A1" s="9" t="s">
        <v>51</v>
      </c>
      <c r="B1" s="9"/>
      <c r="E1" s="2" t="s">
        <v>84</v>
      </c>
    </row>
    <row r="2" spans="1:5" s="7" customFormat="1" ht="15">
      <c r="A2" s="9"/>
      <c r="B2" s="9"/>
      <c r="E2" s="3" t="s">
        <v>816</v>
      </c>
    </row>
    <row r="3" spans="1:3" s="7" customFormat="1" ht="12.75">
      <c r="A3" s="9" t="s">
        <v>53</v>
      </c>
      <c r="B3" s="9" t="s">
        <v>54</v>
      </c>
      <c r="C3" s="7" t="s">
        <v>460</v>
      </c>
    </row>
    <row r="4" spans="1:2" s="7" customFormat="1" ht="12.75">
      <c r="A4" s="9">
        <v>10572</v>
      </c>
      <c r="B4" s="9"/>
    </row>
    <row r="5" ht="13.5" thickBot="1">
      <c r="D5" s="41"/>
    </row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608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31" t="s">
        <v>305</v>
      </c>
      <c r="X6" s="632"/>
      <c r="Y6" s="541" t="s">
        <v>74</v>
      </c>
      <c r="Z6" s="541" t="s">
        <v>76</v>
      </c>
      <c r="AA6" s="635" t="s">
        <v>77</v>
      </c>
      <c r="AB6" s="632"/>
      <c r="AC6" s="541" t="s">
        <v>78</v>
      </c>
      <c r="AD6" s="603" t="s">
        <v>79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9"/>
      <c r="N7" s="598"/>
      <c r="O7" s="598"/>
      <c r="P7" s="598"/>
      <c r="Q7" s="601"/>
      <c r="R7" s="557" t="s">
        <v>81</v>
      </c>
      <c r="S7" s="557" t="s">
        <v>73</v>
      </c>
      <c r="T7" s="557" t="s">
        <v>705</v>
      </c>
      <c r="U7" s="557" t="s">
        <v>73</v>
      </c>
      <c r="V7" s="557"/>
      <c r="W7" s="633"/>
      <c r="X7" s="634"/>
      <c r="Y7" s="557"/>
      <c r="Z7" s="557"/>
      <c r="AA7" s="633"/>
      <c r="AB7" s="634"/>
      <c r="AC7" s="601"/>
      <c r="AD7" s="604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184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33"/>
      <c r="X8" s="634"/>
      <c r="Y8" s="563"/>
      <c r="Z8" s="563"/>
      <c r="AA8" s="633"/>
      <c r="AB8" s="634"/>
      <c r="AC8" s="610"/>
      <c r="AD8" s="617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30" ht="12.75">
      <c r="A9" s="257" t="s">
        <v>88</v>
      </c>
      <c r="B9" s="258">
        <v>4038</v>
      </c>
      <c r="C9" s="259" t="s">
        <v>461</v>
      </c>
      <c r="D9" s="258">
        <v>10200201</v>
      </c>
      <c r="E9" s="259" t="s">
        <v>462</v>
      </c>
      <c r="F9" s="258" t="s">
        <v>114</v>
      </c>
      <c r="G9" s="258">
        <v>1310</v>
      </c>
      <c r="H9" s="259" t="s">
        <v>137</v>
      </c>
      <c r="I9" s="258">
        <v>597515</v>
      </c>
      <c r="J9" s="258" t="s">
        <v>489</v>
      </c>
      <c r="K9" s="258" t="s">
        <v>91</v>
      </c>
      <c r="L9" s="258">
        <v>0</v>
      </c>
      <c r="M9" s="258">
        <v>11409</v>
      </c>
      <c r="N9" s="258" t="s">
        <v>495</v>
      </c>
      <c r="O9" s="258">
        <v>0.34</v>
      </c>
      <c r="P9" s="258" t="s">
        <v>91</v>
      </c>
      <c r="Q9" s="259" t="s">
        <v>92</v>
      </c>
      <c r="R9" s="259" t="s">
        <v>486</v>
      </c>
      <c r="S9" s="259">
        <v>99</v>
      </c>
      <c r="T9" s="259"/>
      <c r="U9" s="259"/>
      <c r="V9" s="259">
        <v>99</v>
      </c>
      <c r="W9" s="258"/>
      <c r="X9" s="260">
        <f aca="true" t="shared" si="0" ref="X9:X16">AB9*I9/2000</f>
        <v>579.5895499999999</v>
      </c>
      <c r="Y9" s="258">
        <v>0</v>
      </c>
      <c r="Z9" s="258">
        <v>1</v>
      </c>
      <c r="AA9" s="258" t="s">
        <v>440</v>
      </c>
      <c r="AB9" s="258">
        <v>1.94</v>
      </c>
      <c r="AC9" s="258" t="s">
        <v>490</v>
      </c>
      <c r="AD9" s="261" t="s">
        <v>847</v>
      </c>
    </row>
    <row r="10" spans="1:30" ht="12.75">
      <c r="A10" s="262" t="s">
        <v>88</v>
      </c>
      <c r="B10" s="255">
        <v>4039</v>
      </c>
      <c r="C10" s="254" t="s">
        <v>463</v>
      </c>
      <c r="D10" s="255">
        <v>10200601</v>
      </c>
      <c r="E10" s="254" t="s">
        <v>464</v>
      </c>
      <c r="F10" s="255" t="s">
        <v>114</v>
      </c>
      <c r="G10" s="255">
        <v>1311</v>
      </c>
      <c r="H10" s="254" t="s">
        <v>206</v>
      </c>
      <c r="I10" s="255">
        <v>12.8</v>
      </c>
      <c r="J10" s="255" t="s">
        <v>491</v>
      </c>
      <c r="K10" s="255" t="s">
        <v>91</v>
      </c>
      <c r="L10" s="255">
        <v>0</v>
      </c>
      <c r="M10" s="255">
        <v>1043</v>
      </c>
      <c r="N10" s="255" t="s">
        <v>493</v>
      </c>
      <c r="O10" s="255" t="s">
        <v>91</v>
      </c>
      <c r="P10" s="255" t="s">
        <v>91</v>
      </c>
      <c r="Q10" s="254" t="s">
        <v>92</v>
      </c>
      <c r="R10" s="254"/>
      <c r="S10" s="254"/>
      <c r="T10" s="254"/>
      <c r="U10" s="254"/>
      <c r="V10" s="254"/>
      <c r="W10" s="255"/>
      <c r="X10" s="256">
        <f t="shared" si="0"/>
        <v>0.0038399999999999997</v>
      </c>
      <c r="Y10" s="255">
        <v>0</v>
      </c>
      <c r="Z10" s="255">
        <v>3</v>
      </c>
      <c r="AA10" s="255"/>
      <c r="AB10" s="255">
        <v>0.6</v>
      </c>
      <c r="AC10" s="255" t="s">
        <v>492</v>
      </c>
      <c r="AD10" s="263" t="s">
        <v>91</v>
      </c>
    </row>
    <row r="11" spans="1:30" ht="12.75">
      <c r="A11" s="262" t="s">
        <v>88</v>
      </c>
      <c r="B11" s="255">
        <v>4040</v>
      </c>
      <c r="C11" s="254" t="s">
        <v>465</v>
      </c>
      <c r="D11" s="255">
        <v>10200201</v>
      </c>
      <c r="E11" s="254" t="s">
        <v>471</v>
      </c>
      <c r="F11" s="255" t="s">
        <v>114</v>
      </c>
      <c r="G11" s="255">
        <v>1312</v>
      </c>
      <c r="H11" s="254" t="s">
        <v>137</v>
      </c>
      <c r="I11" s="255">
        <v>622300</v>
      </c>
      <c r="J11" s="255" t="s">
        <v>489</v>
      </c>
      <c r="K11" s="255" t="s">
        <v>91</v>
      </c>
      <c r="L11" s="255">
        <v>0</v>
      </c>
      <c r="M11" s="255">
        <v>11882</v>
      </c>
      <c r="N11" s="255" t="s">
        <v>495</v>
      </c>
      <c r="O11" s="255">
        <v>0.35</v>
      </c>
      <c r="P11" s="255" t="s">
        <v>91</v>
      </c>
      <c r="Q11" s="254" t="s">
        <v>92</v>
      </c>
      <c r="R11" s="254" t="s">
        <v>486</v>
      </c>
      <c r="S11" s="254">
        <v>99</v>
      </c>
      <c r="T11" s="254"/>
      <c r="U11" s="254"/>
      <c r="V11" s="254">
        <v>99</v>
      </c>
      <c r="W11" s="255"/>
      <c r="X11" s="256">
        <f t="shared" si="0"/>
        <v>603.631</v>
      </c>
      <c r="Y11" s="255">
        <v>0</v>
      </c>
      <c r="Z11" s="255">
        <v>1</v>
      </c>
      <c r="AA11" s="255" t="s">
        <v>440</v>
      </c>
      <c r="AB11" s="255">
        <v>1.94</v>
      </c>
      <c r="AC11" s="255" t="s">
        <v>490</v>
      </c>
      <c r="AD11" s="263" t="s">
        <v>91</v>
      </c>
    </row>
    <row r="12" spans="1:30" ht="12.75">
      <c r="A12" s="262" t="s">
        <v>88</v>
      </c>
      <c r="B12" s="255">
        <v>4041</v>
      </c>
      <c r="C12" s="254" t="s">
        <v>466</v>
      </c>
      <c r="D12" s="255">
        <v>10200201</v>
      </c>
      <c r="E12" s="254" t="s">
        <v>467</v>
      </c>
      <c r="F12" s="255" t="s">
        <v>114</v>
      </c>
      <c r="G12" s="255">
        <v>1314</v>
      </c>
      <c r="H12" s="254" t="s">
        <v>137</v>
      </c>
      <c r="I12" s="255">
        <v>586714</v>
      </c>
      <c r="J12" s="255" t="s">
        <v>489</v>
      </c>
      <c r="K12" s="255" t="s">
        <v>91</v>
      </c>
      <c r="L12" s="255">
        <v>0</v>
      </c>
      <c r="M12" s="255">
        <v>11482</v>
      </c>
      <c r="N12" s="255" t="s">
        <v>495</v>
      </c>
      <c r="O12" s="255">
        <v>0.35</v>
      </c>
      <c r="P12" s="255" t="s">
        <v>91</v>
      </c>
      <c r="Q12" s="254" t="s">
        <v>92</v>
      </c>
      <c r="R12" s="254" t="s">
        <v>486</v>
      </c>
      <c r="S12" s="254">
        <v>99</v>
      </c>
      <c r="T12" s="254"/>
      <c r="U12" s="254"/>
      <c r="V12" s="254">
        <v>99</v>
      </c>
      <c r="W12" s="255"/>
      <c r="X12" s="256">
        <f t="shared" si="0"/>
        <v>569.11258</v>
      </c>
      <c r="Y12" s="255">
        <v>0</v>
      </c>
      <c r="Z12" s="255">
        <v>1</v>
      </c>
      <c r="AA12" s="255" t="s">
        <v>440</v>
      </c>
      <c r="AB12" s="255">
        <v>1.94</v>
      </c>
      <c r="AC12" s="255" t="s">
        <v>490</v>
      </c>
      <c r="AD12" s="263" t="s">
        <v>91</v>
      </c>
    </row>
    <row r="13" spans="1:30" ht="12.75">
      <c r="A13" s="262" t="s">
        <v>88</v>
      </c>
      <c r="B13" s="255">
        <v>4042</v>
      </c>
      <c r="C13" s="254" t="s">
        <v>468</v>
      </c>
      <c r="D13" s="255">
        <v>10100202</v>
      </c>
      <c r="E13" s="254" t="s">
        <v>469</v>
      </c>
      <c r="F13" s="255" t="s">
        <v>114</v>
      </c>
      <c r="G13" s="255">
        <v>1316</v>
      </c>
      <c r="H13" s="254" t="s">
        <v>137</v>
      </c>
      <c r="I13" s="255">
        <v>1245880</v>
      </c>
      <c r="J13" s="255" t="s">
        <v>489</v>
      </c>
      <c r="K13" s="255" t="s">
        <v>91</v>
      </c>
      <c r="L13" s="255">
        <v>0</v>
      </c>
      <c r="M13" s="255">
        <v>11482</v>
      </c>
      <c r="N13" s="255" t="s">
        <v>495</v>
      </c>
      <c r="O13" s="255">
        <v>0.35</v>
      </c>
      <c r="P13" s="255" t="s">
        <v>91</v>
      </c>
      <c r="Q13" s="254" t="s">
        <v>92</v>
      </c>
      <c r="R13" s="254" t="s">
        <v>486</v>
      </c>
      <c r="S13" s="254">
        <v>99</v>
      </c>
      <c r="T13" s="254"/>
      <c r="U13" s="254"/>
      <c r="V13" s="254">
        <v>99</v>
      </c>
      <c r="W13" s="255"/>
      <c r="X13" s="256">
        <f t="shared" si="0"/>
        <v>1208.5035999999998</v>
      </c>
      <c r="Y13" s="255">
        <v>0</v>
      </c>
      <c r="Z13" s="255">
        <v>1</v>
      </c>
      <c r="AA13" s="255" t="s">
        <v>440</v>
      </c>
      <c r="AB13" s="255">
        <v>1.94</v>
      </c>
      <c r="AC13" s="255" t="s">
        <v>490</v>
      </c>
      <c r="AD13" s="263" t="s">
        <v>91</v>
      </c>
    </row>
    <row r="14" spans="1:30" ht="12.75">
      <c r="A14" s="262" t="s">
        <v>88</v>
      </c>
      <c r="B14" s="255">
        <v>4043</v>
      </c>
      <c r="C14" s="254" t="s">
        <v>470</v>
      </c>
      <c r="D14" s="255">
        <v>10200601</v>
      </c>
      <c r="E14" s="254" t="s">
        <v>471</v>
      </c>
      <c r="F14" s="255" t="s">
        <v>114</v>
      </c>
      <c r="G14" s="255">
        <v>1313</v>
      </c>
      <c r="H14" s="254" t="s">
        <v>206</v>
      </c>
      <c r="I14" s="255">
        <v>122.95</v>
      </c>
      <c r="J14" s="255" t="s">
        <v>491</v>
      </c>
      <c r="K14" s="255" t="s">
        <v>91</v>
      </c>
      <c r="L14" s="255">
        <v>0</v>
      </c>
      <c r="M14" s="255">
        <v>1043</v>
      </c>
      <c r="N14" s="255" t="s">
        <v>493</v>
      </c>
      <c r="O14" s="255" t="s">
        <v>91</v>
      </c>
      <c r="P14" s="255" t="s">
        <v>91</v>
      </c>
      <c r="Q14" s="254" t="s">
        <v>92</v>
      </c>
      <c r="R14" s="254"/>
      <c r="S14" s="254"/>
      <c r="T14" s="254"/>
      <c r="U14" s="254"/>
      <c r="V14" s="254"/>
      <c r="W14" s="255"/>
      <c r="X14" s="256">
        <f t="shared" si="0"/>
        <v>0.036885</v>
      </c>
      <c r="Y14" s="255">
        <v>0</v>
      </c>
      <c r="Z14" s="255">
        <v>3</v>
      </c>
      <c r="AA14" s="255"/>
      <c r="AB14" s="255">
        <v>0.6</v>
      </c>
      <c r="AC14" s="255" t="s">
        <v>492</v>
      </c>
      <c r="AD14" s="263" t="s">
        <v>91</v>
      </c>
    </row>
    <row r="15" spans="1:30" ht="12.75">
      <c r="A15" s="262" t="s">
        <v>88</v>
      </c>
      <c r="B15" s="255">
        <v>4044</v>
      </c>
      <c r="C15" s="254" t="s">
        <v>472</v>
      </c>
      <c r="D15" s="255">
        <v>10200601</v>
      </c>
      <c r="E15" s="254" t="s">
        <v>467</v>
      </c>
      <c r="F15" s="255" t="s">
        <v>114</v>
      </c>
      <c r="G15" s="255">
        <v>1315</v>
      </c>
      <c r="H15" s="254" t="s">
        <v>206</v>
      </c>
      <c r="I15" s="255">
        <v>12.1</v>
      </c>
      <c r="J15" s="255" t="s">
        <v>491</v>
      </c>
      <c r="K15" s="255" t="s">
        <v>91</v>
      </c>
      <c r="L15" s="255">
        <v>0</v>
      </c>
      <c r="M15" s="255">
        <v>1043</v>
      </c>
      <c r="N15" s="255" t="s">
        <v>493</v>
      </c>
      <c r="O15" s="255" t="s">
        <v>91</v>
      </c>
      <c r="P15" s="255" t="s">
        <v>91</v>
      </c>
      <c r="Q15" s="254" t="s">
        <v>92</v>
      </c>
      <c r="R15" s="254"/>
      <c r="S15" s="254"/>
      <c r="T15" s="254"/>
      <c r="U15" s="254"/>
      <c r="V15" s="254"/>
      <c r="W15" s="255"/>
      <c r="X15" s="256">
        <f t="shared" si="0"/>
        <v>0.00363</v>
      </c>
      <c r="Y15" s="255">
        <v>0</v>
      </c>
      <c r="Z15" s="255">
        <v>3</v>
      </c>
      <c r="AA15" s="255"/>
      <c r="AB15" s="255">
        <v>0.6</v>
      </c>
      <c r="AC15" s="255" t="s">
        <v>492</v>
      </c>
      <c r="AD15" s="263" t="s">
        <v>91</v>
      </c>
    </row>
    <row r="16" spans="1:30" ht="12.75">
      <c r="A16" s="262" t="s">
        <v>88</v>
      </c>
      <c r="B16" s="255">
        <v>4045</v>
      </c>
      <c r="C16" s="254" t="s">
        <v>473</v>
      </c>
      <c r="D16" s="255">
        <v>10100202</v>
      </c>
      <c r="E16" s="254" t="s">
        <v>474</v>
      </c>
      <c r="F16" s="255" t="s">
        <v>114</v>
      </c>
      <c r="G16" s="255">
        <v>1317</v>
      </c>
      <c r="H16" s="254" t="s">
        <v>206</v>
      </c>
      <c r="I16" s="255">
        <v>23.5</v>
      </c>
      <c r="J16" s="255" t="s">
        <v>491</v>
      </c>
      <c r="K16" s="255" t="s">
        <v>91</v>
      </c>
      <c r="L16" s="255">
        <v>0</v>
      </c>
      <c r="M16" s="255">
        <v>1043</v>
      </c>
      <c r="N16" s="255" t="s">
        <v>493</v>
      </c>
      <c r="O16" s="255" t="s">
        <v>91</v>
      </c>
      <c r="P16" s="255" t="s">
        <v>91</v>
      </c>
      <c r="Q16" s="254" t="s">
        <v>92</v>
      </c>
      <c r="R16" s="254"/>
      <c r="S16" s="254"/>
      <c r="T16" s="254"/>
      <c r="U16" s="254"/>
      <c r="V16" s="254"/>
      <c r="W16" s="255"/>
      <c r="X16" s="256">
        <f t="shared" si="0"/>
        <v>0.00705</v>
      </c>
      <c r="Y16" s="255">
        <v>0</v>
      </c>
      <c r="Z16" s="255">
        <v>3</v>
      </c>
      <c r="AA16" s="255"/>
      <c r="AB16" s="255">
        <v>0.6</v>
      </c>
      <c r="AC16" s="255" t="s">
        <v>492</v>
      </c>
      <c r="AD16" s="263" t="s">
        <v>91</v>
      </c>
    </row>
    <row r="17" spans="1:30" ht="12.75">
      <c r="A17" s="262" t="s">
        <v>88</v>
      </c>
      <c r="B17" s="255">
        <v>13943</v>
      </c>
      <c r="C17" s="254" t="s">
        <v>475</v>
      </c>
      <c r="D17" s="255">
        <v>10200601</v>
      </c>
      <c r="E17" s="254" t="s">
        <v>476</v>
      </c>
      <c r="F17" s="255" t="s">
        <v>114</v>
      </c>
      <c r="G17" s="255">
        <v>0</v>
      </c>
      <c r="H17" s="254" t="s">
        <v>206</v>
      </c>
      <c r="I17" s="255">
        <v>0</v>
      </c>
      <c r="J17" s="255" t="s">
        <v>445</v>
      </c>
      <c r="K17" s="255">
        <v>20.1</v>
      </c>
      <c r="L17" s="255" t="s">
        <v>494</v>
      </c>
      <c r="M17" s="255">
        <v>1043</v>
      </c>
      <c r="N17" s="255" t="s">
        <v>493</v>
      </c>
      <c r="O17" s="255">
        <v>0</v>
      </c>
      <c r="P17" s="255">
        <v>0</v>
      </c>
      <c r="Q17" s="254" t="s">
        <v>92</v>
      </c>
      <c r="R17" s="254"/>
      <c r="S17" s="254"/>
      <c r="T17" s="254"/>
      <c r="U17" s="254"/>
      <c r="V17" s="254"/>
      <c r="W17" s="255" t="s">
        <v>498</v>
      </c>
      <c r="X17" s="256">
        <f>(((I17*K17)/M17)*AB17)/2000</f>
        <v>0</v>
      </c>
      <c r="Y17" s="255">
        <v>0</v>
      </c>
      <c r="Z17" s="255">
        <v>3</v>
      </c>
      <c r="AA17" s="255"/>
      <c r="AB17" s="255">
        <v>0.6</v>
      </c>
      <c r="AC17" s="255" t="s">
        <v>492</v>
      </c>
      <c r="AD17" s="263" t="s">
        <v>848</v>
      </c>
    </row>
    <row r="18" spans="1:30" ht="12.75">
      <c r="A18" s="262" t="s">
        <v>88</v>
      </c>
      <c r="B18" s="255">
        <v>13944</v>
      </c>
      <c r="C18" s="254" t="s">
        <v>477</v>
      </c>
      <c r="D18" s="255">
        <v>10200601</v>
      </c>
      <c r="E18" s="254" t="s">
        <v>476</v>
      </c>
      <c r="F18" s="255" t="s">
        <v>114</v>
      </c>
      <c r="G18" s="255">
        <v>0</v>
      </c>
      <c r="H18" s="254" t="s">
        <v>206</v>
      </c>
      <c r="I18" s="255">
        <v>0</v>
      </c>
      <c r="J18" s="255" t="s">
        <v>445</v>
      </c>
      <c r="K18" s="255">
        <v>20.1</v>
      </c>
      <c r="L18" s="255" t="s">
        <v>494</v>
      </c>
      <c r="M18" s="255">
        <v>1043</v>
      </c>
      <c r="N18" s="255" t="s">
        <v>495</v>
      </c>
      <c r="O18" s="255">
        <v>0</v>
      </c>
      <c r="P18" s="255">
        <v>0</v>
      </c>
      <c r="Q18" s="254" t="s">
        <v>92</v>
      </c>
      <c r="R18" s="254"/>
      <c r="S18" s="254"/>
      <c r="T18" s="254"/>
      <c r="U18" s="254"/>
      <c r="V18" s="254"/>
      <c r="W18" s="255" t="s">
        <v>498</v>
      </c>
      <c r="X18" s="256">
        <f>(((I18*K18)/M18)*AB18)/2000</f>
        <v>0</v>
      </c>
      <c r="Y18" s="255">
        <v>0</v>
      </c>
      <c r="Z18" s="255">
        <v>3</v>
      </c>
      <c r="AA18" s="255"/>
      <c r="AB18" s="255">
        <v>0.6</v>
      </c>
      <c r="AC18" s="255" t="s">
        <v>492</v>
      </c>
      <c r="AD18" s="263" t="s">
        <v>848</v>
      </c>
    </row>
    <row r="19" spans="1:30" ht="13.5" thickBot="1">
      <c r="A19" s="262" t="s">
        <v>88</v>
      </c>
      <c r="B19" s="255">
        <v>14148</v>
      </c>
      <c r="C19" s="254" t="s">
        <v>478</v>
      </c>
      <c r="D19" s="255">
        <v>10200601</v>
      </c>
      <c r="E19" s="254" t="s">
        <v>476</v>
      </c>
      <c r="F19" s="255" t="s">
        <v>114</v>
      </c>
      <c r="G19" s="255">
        <v>0</v>
      </c>
      <c r="H19" s="254" t="s">
        <v>206</v>
      </c>
      <c r="I19" s="255">
        <v>5110</v>
      </c>
      <c r="J19" s="255" t="s">
        <v>445</v>
      </c>
      <c r="K19" s="255">
        <v>7.133</v>
      </c>
      <c r="L19" s="255" t="s">
        <v>494</v>
      </c>
      <c r="M19" s="255">
        <v>1043</v>
      </c>
      <c r="N19" s="255" t="s">
        <v>493</v>
      </c>
      <c r="O19" s="255">
        <v>0</v>
      </c>
      <c r="P19" s="255">
        <v>0</v>
      </c>
      <c r="Q19" s="254" t="s">
        <v>92</v>
      </c>
      <c r="R19" s="254"/>
      <c r="S19" s="254"/>
      <c r="T19" s="254"/>
      <c r="U19" s="254"/>
      <c r="V19" s="254"/>
      <c r="W19" s="255" t="s">
        <v>498</v>
      </c>
      <c r="X19" s="256">
        <f>(((I19*K19)/M19)*AB19)/2000</f>
        <v>0.010484073825503355</v>
      </c>
      <c r="Y19" s="255">
        <v>0</v>
      </c>
      <c r="Z19" s="255">
        <v>3</v>
      </c>
      <c r="AA19" s="255"/>
      <c r="AB19" s="255">
        <v>0.6</v>
      </c>
      <c r="AC19" s="255" t="s">
        <v>492</v>
      </c>
      <c r="AD19" s="263" t="s">
        <v>91</v>
      </c>
    </row>
    <row r="20" spans="22:24" ht="13.5" thickBot="1">
      <c r="V20" s="376" t="s">
        <v>412</v>
      </c>
      <c r="W20" s="379"/>
      <c r="X20" s="380">
        <f>SUM(X9:X19)</f>
        <v>2960.898619073825</v>
      </c>
    </row>
    <row r="21" ht="13.5" thickTop="1">
      <c r="C21" s="12" t="s">
        <v>85</v>
      </c>
    </row>
    <row r="22" spans="3:18" s="7" customFormat="1" ht="12.75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3:18" s="7" customFormat="1" ht="12.75">
      <c r="C23" t="s">
        <v>497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3:18" s="7" customFormat="1" ht="12.75">
      <c r="C24" t="s">
        <v>487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3:18" s="7" customFormat="1" ht="12.75">
      <c r="C25" t="s">
        <v>488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3:18" s="7" customFormat="1" ht="12.75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ht="12.75">
      <c r="C27" t="s">
        <v>496</v>
      </c>
    </row>
    <row r="29" ht="12.75">
      <c r="C29" t="s">
        <v>499</v>
      </c>
    </row>
    <row r="30" ht="12.75">
      <c r="C30" t="s">
        <v>849</v>
      </c>
    </row>
  </sheetData>
  <mergeCells count="24">
    <mergeCell ref="Z6:Z8"/>
    <mergeCell ref="AD6:AD8"/>
    <mergeCell ref="AC6:AC8"/>
    <mergeCell ref="AA6:AB8"/>
    <mergeCell ref="T6:U6"/>
    <mergeCell ref="V6:V8"/>
    <mergeCell ref="Y6:Y8"/>
    <mergeCell ref="U7:U8"/>
    <mergeCell ref="T7:T8"/>
    <mergeCell ref="W6:X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61" right="0.73" top="1.67" bottom="1" header="0.5" footer="0.5"/>
  <pageSetup horizontalDpi="600" verticalDpi="600" orientation="landscape" r:id="rId1"/>
  <headerFooter alignWithMargins="0">
    <oddHeader>&amp;L
Kennecott Utah Copper Corp.
Site Name:  North Concentrator/Power Plant/Lab/Tailings Pond
Site ID:  10572&amp;CRegional Haze
1998 Statewide SOx Source</oddHeader>
    <oddFooter>&amp;R&amp;D
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N48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8.00390625" style="0" customWidth="1"/>
    <col min="3" max="3" width="7.28125" style="0" customWidth="1"/>
    <col min="5" max="5" width="33.8515625" style="0" customWidth="1"/>
    <col min="6" max="6" width="8.140625" style="0" customWidth="1"/>
    <col min="7" max="7" width="10.57421875" style="0" customWidth="1"/>
    <col min="8" max="8" width="15.7109375" style="0" customWidth="1"/>
    <col min="10" max="10" width="10.00390625" style="0" customWidth="1"/>
    <col min="11" max="11" width="7.8515625" style="0" customWidth="1"/>
    <col min="12" max="12" width="6.28125" style="0" customWidth="1"/>
    <col min="13" max="13" width="8.00390625" style="0" customWidth="1"/>
    <col min="14" max="14" width="7.8515625" style="0" customWidth="1"/>
    <col min="15" max="15" width="7.28125" style="0" customWidth="1"/>
    <col min="16" max="16" width="6.00390625" style="0" customWidth="1"/>
    <col min="18" max="18" width="16.140625" style="0" customWidth="1"/>
    <col min="20" max="20" width="18.421875" style="0" customWidth="1"/>
    <col min="22" max="22" width="9.8515625" style="0" customWidth="1"/>
    <col min="23" max="23" width="10.00390625" style="21" customWidth="1"/>
    <col min="24" max="24" width="11.7109375" style="0" customWidth="1"/>
    <col min="27" max="27" width="11.140625" style="0" customWidth="1"/>
    <col min="28" max="28" width="22.421875" style="0" customWidth="1"/>
  </cols>
  <sheetData>
    <row r="1" spans="1:5" ht="15.75">
      <c r="A1" s="12" t="s">
        <v>42</v>
      </c>
      <c r="B1" s="12"/>
      <c r="C1" s="5" t="s">
        <v>597</v>
      </c>
      <c r="E1" s="2" t="s">
        <v>84</v>
      </c>
    </row>
    <row r="2" spans="1:19" ht="15">
      <c r="A2" s="12"/>
      <c r="B2" s="12"/>
      <c r="E2" s="3" t="s">
        <v>850</v>
      </c>
      <c r="S2" t="s">
        <v>909</v>
      </c>
    </row>
    <row r="3" spans="1:20" ht="12.75">
      <c r="A3" s="12" t="s">
        <v>53</v>
      </c>
      <c r="B3" s="12" t="s">
        <v>54</v>
      </c>
      <c r="C3" s="5" t="s">
        <v>598</v>
      </c>
      <c r="T3" t="s">
        <v>910</v>
      </c>
    </row>
    <row r="4" spans="1:2" ht="12.75">
      <c r="A4" s="4">
        <v>10081</v>
      </c>
      <c r="B4" s="12"/>
    </row>
    <row r="5" ht="13.5" thickBot="1"/>
    <row r="6" spans="1:66" ht="16.5" customHeight="1">
      <c r="A6" s="626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14" t="s">
        <v>305</v>
      </c>
      <c r="X6" s="603" t="s">
        <v>74</v>
      </c>
      <c r="Y6" s="56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27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15"/>
      <c r="X7" s="604"/>
      <c r="Y7" s="605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>
      <c r="A8" s="627"/>
      <c r="B8" s="600"/>
      <c r="C8" s="598"/>
      <c r="D8" s="598"/>
      <c r="E8" s="598"/>
      <c r="F8" s="598"/>
      <c r="G8" s="598"/>
      <c r="H8" s="598"/>
      <c r="I8" s="63" t="s">
        <v>57</v>
      </c>
      <c r="J8" s="63" t="s">
        <v>58</v>
      </c>
      <c r="K8" s="63" t="s">
        <v>56</v>
      </c>
      <c r="L8" s="127" t="s">
        <v>59</v>
      </c>
      <c r="M8" s="147" t="s">
        <v>60</v>
      </c>
      <c r="N8" s="63" t="s">
        <v>59</v>
      </c>
      <c r="O8" s="63" t="s">
        <v>61</v>
      </c>
      <c r="P8" s="63" t="s">
        <v>62</v>
      </c>
      <c r="Q8" s="601"/>
      <c r="R8" s="557"/>
      <c r="S8" s="557"/>
      <c r="T8" s="601"/>
      <c r="U8" s="557"/>
      <c r="V8" s="557"/>
      <c r="W8" s="615"/>
      <c r="X8" s="604"/>
      <c r="Y8" s="605"/>
      <c r="Z8" s="557"/>
      <c r="AA8" s="601"/>
      <c r="AB8" s="60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30" ht="12.75">
      <c r="A9" s="381" t="s">
        <v>88</v>
      </c>
      <c r="B9" s="324">
        <v>3974</v>
      </c>
      <c r="C9" s="5" t="s">
        <v>89</v>
      </c>
      <c r="D9" s="4">
        <v>10100212</v>
      </c>
      <c r="E9" s="5" t="s">
        <v>599</v>
      </c>
      <c r="F9" s="4" t="s">
        <v>114</v>
      </c>
      <c r="G9" s="4">
        <v>1001</v>
      </c>
      <c r="H9" s="5" t="s">
        <v>137</v>
      </c>
      <c r="I9" s="4">
        <v>234416</v>
      </c>
      <c r="J9" s="4" t="s">
        <v>436</v>
      </c>
      <c r="K9" s="4">
        <v>55.6</v>
      </c>
      <c r="L9" s="325" t="s">
        <v>394</v>
      </c>
      <c r="M9" s="324">
        <v>12132</v>
      </c>
      <c r="N9" s="4" t="s">
        <v>495</v>
      </c>
      <c r="O9" s="4">
        <v>0.46</v>
      </c>
      <c r="P9" s="4">
        <v>9.82</v>
      </c>
      <c r="Q9" s="5" t="s">
        <v>92</v>
      </c>
      <c r="R9" s="5"/>
      <c r="S9" s="5"/>
      <c r="T9" s="5"/>
      <c r="U9" s="5"/>
      <c r="V9" s="5"/>
      <c r="W9" s="8">
        <f>Z9*I9*2000*M9/1000000/2000</f>
        <v>1689.297337728</v>
      </c>
      <c r="X9" s="325">
        <v>0</v>
      </c>
      <c r="Y9" s="324">
        <v>10</v>
      </c>
      <c r="Z9" s="4">
        <v>0.594</v>
      </c>
      <c r="AA9" s="4" t="s">
        <v>609</v>
      </c>
      <c r="AB9" s="319" t="s">
        <v>600</v>
      </c>
      <c r="AC9" s="318"/>
      <c r="AD9" s="4"/>
    </row>
    <row r="10" spans="1:30" ht="12.75">
      <c r="A10" s="381" t="s">
        <v>88</v>
      </c>
      <c r="B10" s="324">
        <v>3976</v>
      </c>
      <c r="C10" s="5" t="s">
        <v>88</v>
      </c>
      <c r="D10" s="4">
        <v>10100212</v>
      </c>
      <c r="E10" s="5" t="s">
        <v>599</v>
      </c>
      <c r="F10" s="4" t="s">
        <v>114</v>
      </c>
      <c r="G10" s="4">
        <v>1002</v>
      </c>
      <c r="H10" s="5" t="s">
        <v>137</v>
      </c>
      <c r="I10" s="4">
        <v>365901</v>
      </c>
      <c r="J10" s="4" t="s">
        <v>436</v>
      </c>
      <c r="K10" s="4">
        <v>41.7</v>
      </c>
      <c r="L10" s="325" t="s">
        <v>394</v>
      </c>
      <c r="M10" s="324">
        <v>12122</v>
      </c>
      <c r="N10" s="4" t="s">
        <v>495</v>
      </c>
      <c r="O10" s="4">
        <v>0.45</v>
      </c>
      <c r="P10" s="4">
        <v>9.83</v>
      </c>
      <c r="Q10" s="5" t="s">
        <v>92</v>
      </c>
      <c r="R10" s="5"/>
      <c r="S10" s="5"/>
      <c r="T10" s="5"/>
      <c r="U10" s="5"/>
      <c r="V10" s="5"/>
      <c r="W10" s="8">
        <f>Z10*I10*2000*M10/2000/1000000</f>
        <v>2643.5293455119995</v>
      </c>
      <c r="X10" s="325">
        <v>0</v>
      </c>
      <c r="Y10" s="324">
        <v>10</v>
      </c>
      <c r="Z10" s="4">
        <v>0.596</v>
      </c>
      <c r="AA10" s="4" t="s">
        <v>609</v>
      </c>
      <c r="AB10" s="319" t="s">
        <v>600</v>
      </c>
      <c r="AC10" s="318"/>
      <c r="AD10" s="4"/>
    </row>
    <row r="11" spans="1:30" ht="12.75">
      <c r="A11" s="381" t="s">
        <v>88</v>
      </c>
      <c r="B11" s="324">
        <v>8910</v>
      </c>
      <c r="C11" s="5" t="s">
        <v>95</v>
      </c>
      <c r="D11" s="4">
        <v>10100501</v>
      </c>
      <c r="E11" s="5" t="s">
        <v>599</v>
      </c>
      <c r="F11" s="4" t="s">
        <v>114</v>
      </c>
      <c r="G11" s="4">
        <v>1001</v>
      </c>
      <c r="H11" s="5" t="s">
        <v>232</v>
      </c>
      <c r="I11" s="4">
        <v>54077</v>
      </c>
      <c r="J11" s="4" t="s">
        <v>564</v>
      </c>
      <c r="K11" s="4">
        <v>0</v>
      </c>
      <c r="L11" s="325">
        <v>0</v>
      </c>
      <c r="M11" s="324">
        <v>140000</v>
      </c>
      <c r="N11" s="4" t="s">
        <v>611</v>
      </c>
      <c r="O11" s="4">
        <v>0.05</v>
      </c>
      <c r="P11" s="4">
        <v>0</v>
      </c>
      <c r="Q11" s="5" t="s">
        <v>92</v>
      </c>
      <c r="R11" s="5"/>
      <c r="S11" s="5"/>
      <c r="T11" s="5"/>
      <c r="U11" s="5"/>
      <c r="V11" s="5"/>
      <c r="W11" s="8">
        <f>Z11*I11/1000/2000</f>
        <v>0.1892695</v>
      </c>
      <c r="X11" s="325">
        <v>0</v>
      </c>
      <c r="Y11" s="324">
        <v>3</v>
      </c>
      <c r="Z11" s="4">
        <v>7</v>
      </c>
      <c r="AA11" s="4" t="s">
        <v>612</v>
      </c>
      <c r="AB11" s="319" t="s">
        <v>601</v>
      </c>
      <c r="AC11" s="318"/>
      <c r="AD11" s="4"/>
    </row>
    <row r="12" spans="1:30" ht="12.75">
      <c r="A12" s="381" t="s">
        <v>88</v>
      </c>
      <c r="B12" s="324">
        <v>8911</v>
      </c>
      <c r="C12" s="5" t="s">
        <v>101</v>
      </c>
      <c r="D12" s="4">
        <v>10100501</v>
      </c>
      <c r="E12" s="5" t="s">
        <v>599</v>
      </c>
      <c r="F12" s="4" t="s">
        <v>114</v>
      </c>
      <c r="G12" s="4">
        <v>1002</v>
      </c>
      <c r="H12" s="5" t="s">
        <v>232</v>
      </c>
      <c r="I12" s="4">
        <v>91350</v>
      </c>
      <c r="J12" s="4" t="s">
        <v>564</v>
      </c>
      <c r="K12" s="4">
        <v>0</v>
      </c>
      <c r="L12" s="325">
        <v>0</v>
      </c>
      <c r="M12" s="324">
        <v>140000</v>
      </c>
      <c r="N12" s="4" t="s">
        <v>611</v>
      </c>
      <c r="O12" s="4">
        <v>0.05</v>
      </c>
      <c r="P12" s="4">
        <v>0</v>
      </c>
      <c r="Q12" s="5" t="s">
        <v>92</v>
      </c>
      <c r="R12" s="5"/>
      <c r="S12" s="5"/>
      <c r="T12" s="5"/>
      <c r="U12" s="5"/>
      <c r="V12" s="5"/>
      <c r="W12" s="8">
        <f>Z12*I12/1000/2000</f>
        <v>0.31972500000000004</v>
      </c>
      <c r="X12" s="325">
        <v>0</v>
      </c>
      <c r="Y12" s="324">
        <v>3</v>
      </c>
      <c r="Z12" s="4">
        <v>7</v>
      </c>
      <c r="AA12" s="4" t="s">
        <v>612</v>
      </c>
      <c r="AB12" s="319" t="s">
        <v>602</v>
      </c>
      <c r="AC12" s="318"/>
      <c r="AD12" s="4"/>
    </row>
    <row r="13" spans="1:30" ht="12.75">
      <c r="A13" s="381" t="s">
        <v>135</v>
      </c>
      <c r="B13" s="324">
        <v>9138</v>
      </c>
      <c r="C13" s="5" t="s">
        <v>603</v>
      </c>
      <c r="D13" s="4">
        <v>30501039</v>
      </c>
      <c r="E13" s="5" t="s">
        <v>629</v>
      </c>
      <c r="F13" s="4" t="s">
        <v>114</v>
      </c>
      <c r="G13" s="4">
        <v>0</v>
      </c>
      <c r="H13" s="5" t="s">
        <v>232</v>
      </c>
      <c r="I13" s="4">
        <v>2080</v>
      </c>
      <c r="J13" s="4" t="s">
        <v>156</v>
      </c>
      <c r="K13" s="4">
        <v>0</v>
      </c>
      <c r="L13" s="325">
        <v>0</v>
      </c>
      <c r="M13" s="324">
        <v>0</v>
      </c>
      <c r="N13" s="4">
        <v>0</v>
      </c>
      <c r="O13" s="4">
        <v>0</v>
      </c>
      <c r="P13" s="4">
        <v>0</v>
      </c>
      <c r="Q13" s="5" t="s">
        <v>92</v>
      </c>
      <c r="R13" s="5"/>
      <c r="S13" s="5"/>
      <c r="T13" s="5"/>
      <c r="U13" s="5"/>
      <c r="V13" s="5"/>
      <c r="W13" s="8">
        <f>(Z13*I13/2000)*2</f>
        <v>0.936</v>
      </c>
      <c r="X13" s="325" t="s">
        <v>91</v>
      </c>
      <c r="Y13" s="324">
        <v>3</v>
      </c>
      <c r="Z13" s="4">
        <v>0.45</v>
      </c>
      <c r="AA13" s="4" t="s">
        <v>394</v>
      </c>
      <c r="AB13" s="319" t="s">
        <v>91</v>
      </c>
      <c r="AC13" s="318"/>
      <c r="AD13" s="4"/>
    </row>
    <row r="14" spans="1:30" ht="12.75">
      <c r="A14" s="381" t="s">
        <v>202</v>
      </c>
      <c r="B14" s="324">
        <v>13687</v>
      </c>
      <c r="C14" s="5" t="s">
        <v>135</v>
      </c>
      <c r="D14" s="4">
        <v>20200102</v>
      </c>
      <c r="E14" s="5" t="s">
        <v>604</v>
      </c>
      <c r="F14" s="4" t="s">
        <v>114</v>
      </c>
      <c r="G14" s="4">
        <v>0</v>
      </c>
      <c r="H14" s="5" t="s">
        <v>232</v>
      </c>
      <c r="I14" s="4">
        <v>50</v>
      </c>
      <c r="J14" s="4" t="s">
        <v>156</v>
      </c>
      <c r="K14" s="4">
        <v>250</v>
      </c>
      <c r="L14" s="325" t="s">
        <v>613</v>
      </c>
      <c r="M14" s="324">
        <v>140000</v>
      </c>
      <c r="N14" s="4" t="s">
        <v>611</v>
      </c>
      <c r="O14" s="4">
        <v>0.1</v>
      </c>
      <c r="P14" s="4">
        <v>0</v>
      </c>
      <c r="Q14" s="5" t="s">
        <v>92</v>
      </c>
      <c r="R14" s="5"/>
      <c r="S14" s="5"/>
      <c r="T14" s="5"/>
      <c r="U14" s="5"/>
      <c r="V14" s="5"/>
      <c r="W14" s="8">
        <f>Z14*K14*I14/2000</f>
        <v>0.013125</v>
      </c>
      <c r="X14" s="325" t="s">
        <v>91</v>
      </c>
      <c r="Y14" s="324">
        <v>3</v>
      </c>
      <c r="Z14" s="4">
        <v>0.0021</v>
      </c>
      <c r="AA14" s="4" t="s">
        <v>614</v>
      </c>
      <c r="AB14" s="319" t="s">
        <v>605</v>
      </c>
      <c r="AC14" s="318"/>
      <c r="AD14" s="4"/>
    </row>
    <row r="15" spans="1:30" ht="13.5" thickBot="1">
      <c r="A15" s="382" t="s">
        <v>202</v>
      </c>
      <c r="B15" s="326">
        <v>13688</v>
      </c>
      <c r="C15" s="321" t="s">
        <v>606</v>
      </c>
      <c r="D15" s="320">
        <v>20200102</v>
      </c>
      <c r="E15" s="321" t="s">
        <v>607</v>
      </c>
      <c r="F15" s="320" t="s">
        <v>114</v>
      </c>
      <c r="G15" s="320">
        <v>0</v>
      </c>
      <c r="H15" s="321" t="s">
        <v>232</v>
      </c>
      <c r="I15" s="320">
        <v>1030</v>
      </c>
      <c r="J15" s="320" t="s">
        <v>156</v>
      </c>
      <c r="K15" s="320">
        <v>250</v>
      </c>
      <c r="L15" s="327" t="s">
        <v>613</v>
      </c>
      <c r="M15" s="326">
        <v>140000</v>
      </c>
      <c r="N15" s="320" t="s">
        <v>611</v>
      </c>
      <c r="O15" s="320">
        <v>0.1</v>
      </c>
      <c r="P15" s="320">
        <v>0</v>
      </c>
      <c r="Q15" s="321" t="s">
        <v>92</v>
      </c>
      <c r="R15" s="321"/>
      <c r="S15" s="321"/>
      <c r="T15" s="321"/>
      <c r="U15" s="321"/>
      <c r="V15" s="321"/>
      <c r="W15" s="322">
        <f>Z15*I15*K15/2000</f>
        <v>0.270375</v>
      </c>
      <c r="X15" s="327" t="s">
        <v>91</v>
      </c>
      <c r="Y15" s="326">
        <v>3</v>
      </c>
      <c r="Z15" s="320">
        <v>0.0021</v>
      </c>
      <c r="AA15" s="320" t="s">
        <v>614</v>
      </c>
      <c r="AB15" s="323" t="s">
        <v>608</v>
      </c>
      <c r="AC15" s="318"/>
      <c r="AD15" s="4"/>
    </row>
    <row r="16" spans="22:23" ht="13.5" thickBot="1">
      <c r="V16" s="376" t="s">
        <v>118</v>
      </c>
      <c r="W16" s="377">
        <f>SUM(W9:W15)</f>
        <v>4334.55517774</v>
      </c>
    </row>
    <row r="17" ht="13.5" thickTop="1">
      <c r="C17" s="12" t="s">
        <v>610</v>
      </c>
    </row>
    <row r="19" ht="12.75">
      <c r="C19">
        <v>3974</v>
      </c>
    </row>
    <row r="20" ht="12.75">
      <c r="D20" t="s">
        <v>921</v>
      </c>
    </row>
    <row r="21" ht="12.75">
      <c r="C21">
        <v>3976</v>
      </c>
    </row>
    <row r="22" ht="12.75">
      <c r="D22" t="s">
        <v>922</v>
      </c>
    </row>
    <row r="23" ht="12.75">
      <c r="C23">
        <v>8910</v>
      </c>
    </row>
    <row r="24" ht="12.75">
      <c r="D24" t="s">
        <v>923</v>
      </c>
    </row>
    <row r="25" ht="12.75">
      <c r="C25">
        <v>8911</v>
      </c>
    </row>
    <row r="26" ht="12.75">
      <c r="D26" t="s">
        <v>924</v>
      </c>
    </row>
    <row r="27" ht="12.75">
      <c r="C27">
        <v>9138</v>
      </c>
    </row>
    <row r="28" ht="12.75">
      <c r="D28" t="s">
        <v>925</v>
      </c>
    </row>
    <row r="29" ht="12.75">
      <c r="C29">
        <v>13687</v>
      </c>
    </row>
    <row r="30" ht="12.75">
      <c r="D30" t="s">
        <v>926</v>
      </c>
    </row>
    <row r="31" ht="12.75">
      <c r="C31">
        <v>13688</v>
      </c>
    </row>
    <row r="32" ht="12.75">
      <c r="D32" t="s">
        <v>927</v>
      </c>
    </row>
    <row r="37" ht="12.75">
      <c r="C37" t="s">
        <v>907</v>
      </c>
    </row>
    <row r="38" ht="12.75">
      <c r="D38" t="s">
        <v>911</v>
      </c>
    </row>
    <row r="39" ht="12.75">
      <c r="D39" t="s">
        <v>908</v>
      </c>
    </row>
    <row r="40" ht="12.75">
      <c r="D40" t="s">
        <v>912</v>
      </c>
    </row>
    <row r="41" ht="12.75">
      <c r="D41" t="s">
        <v>914</v>
      </c>
    </row>
    <row r="42" ht="12.75">
      <c r="D42" t="s">
        <v>913</v>
      </c>
    </row>
    <row r="43" ht="12.75">
      <c r="D43" t="s">
        <v>915</v>
      </c>
    </row>
    <row r="44" ht="12.75">
      <c r="D44" t="s">
        <v>916</v>
      </c>
    </row>
    <row r="45" ht="12.75">
      <c r="D45" t="s">
        <v>917</v>
      </c>
    </row>
    <row r="46" ht="12.75">
      <c r="D46" t="s">
        <v>918</v>
      </c>
    </row>
    <row r="47" ht="12.75">
      <c r="D47" t="s">
        <v>919</v>
      </c>
    </row>
    <row r="48" ht="12.75">
      <c r="D48" t="s">
        <v>920</v>
      </c>
    </row>
  </sheetData>
  <mergeCells count="24">
    <mergeCell ref="T7:T8"/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45" right="0.28" top="1.65" bottom="1" header="0.5" footer="0.5"/>
  <pageSetup horizontalDpi="600" verticalDpi="600" orientation="landscape" pageOrder="overThenDown" r:id="rId1"/>
  <headerFooter alignWithMargins="0">
    <oddHeader>&amp;L
PacifiCorp
Site Name:  Carbon Power Plant
Site ID:  10081&amp;C&amp;"Arial,Bold"Regional Haze
&amp;"Arial,Regular"1998 Statewide SOx Sources</oddHeader>
    <oddFooter>&amp;R&amp;D
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BN51"/>
  <sheetViews>
    <sheetView workbookViewId="0" topLeftCell="A1">
      <selection activeCell="D32" sqref="D32"/>
    </sheetView>
  </sheetViews>
  <sheetFormatPr defaultColWidth="9.140625" defaultRowHeight="12.75"/>
  <cols>
    <col min="1" max="1" width="7.00390625" style="0" customWidth="1"/>
    <col min="2" max="2" width="6.57421875" style="0" customWidth="1"/>
    <col min="3" max="3" width="14.7109375" style="0" customWidth="1"/>
    <col min="4" max="4" width="9.00390625" style="0" customWidth="1"/>
    <col min="5" max="5" width="32.7109375" style="0" customWidth="1"/>
    <col min="6" max="6" width="5.8515625" style="0" customWidth="1"/>
    <col min="7" max="7" width="10.421875" style="0" customWidth="1"/>
    <col min="8" max="8" width="15.140625" style="0" customWidth="1"/>
    <col min="10" max="10" width="10.00390625" style="0" customWidth="1"/>
    <col min="11" max="11" width="7.00390625" style="0" customWidth="1"/>
    <col min="12" max="12" width="8.00390625" style="0" customWidth="1"/>
    <col min="13" max="13" width="8.421875" style="0" customWidth="1"/>
    <col min="14" max="15" width="6.8515625" style="0" customWidth="1"/>
    <col min="16" max="16" width="5.28125" style="0" customWidth="1"/>
    <col min="18" max="18" width="12.140625" style="0" customWidth="1"/>
    <col min="19" max="19" width="9.28125" style="0" customWidth="1"/>
    <col min="20" max="20" width="11.8515625" style="0" customWidth="1"/>
    <col min="22" max="22" width="9.8515625" style="0" customWidth="1"/>
    <col min="23" max="23" width="11.7109375" style="21" customWidth="1"/>
    <col min="24" max="24" width="11.00390625" style="0" customWidth="1"/>
    <col min="25" max="25" width="8.421875" style="0" customWidth="1"/>
    <col min="27" max="27" width="11.8515625" style="0" customWidth="1"/>
    <col min="28" max="28" width="16.57421875" style="0" customWidth="1"/>
  </cols>
  <sheetData>
    <row r="1" spans="1:5" ht="15.75">
      <c r="A1" s="12" t="s">
        <v>42</v>
      </c>
      <c r="B1" s="12"/>
      <c r="C1" s="19" t="s">
        <v>597</v>
      </c>
      <c r="E1" s="2" t="s">
        <v>84</v>
      </c>
    </row>
    <row r="2" spans="1:5" ht="15">
      <c r="A2" s="12"/>
      <c r="B2" s="12"/>
      <c r="E2" s="3" t="s">
        <v>850</v>
      </c>
    </row>
    <row r="3" spans="1:3" ht="12.75">
      <c r="A3" s="12" t="s">
        <v>53</v>
      </c>
      <c r="B3" s="12" t="s">
        <v>54</v>
      </c>
      <c r="C3" s="19" t="s">
        <v>481</v>
      </c>
    </row>
    <row r="4" spans="1:2" ht="12.75">
      <c r="A4" s="18">
        <v>10237</v>
      </c>
      <c r="B4" s="12"/>
    </row>
    <row r="5" ht="13.5" thickBot="1"/>
    <row r="6" spans="1:66" ht="16.5" customHeight="1">
      <c r="A6" s="626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14" t="s">
        <v>305</v>
      </c>
      <c r="X6" s="541" t="s">
        <v>74</v>
      </c>
      <c r="Y6" s="541" t="s">
        <v>76</v>
      </c>
      <c r="Z6" s="603" t="s">
        <v>77</v>
      </c>
      <c r="AA6" s="56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27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707</v>
      </c>
      <c r="S7" s="557" t="s">
        <v>73</v>
      </c>
      <c r="T7" s="557" t="s">
        <v>675</v>
      </c>
      <c r="U7" s="557" t="s">
        <v>73</v>
      </c>
      <c r="V7" s="557"/>
      <c r="W7" s="615"/>
      <c r="X7" s="557"/>
      <c r="Y7" s="557"/>
      <c r="Z7" s="604"/>
      <c r="AA7" s="624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28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16"/>
      <c r="X8" s="563"/>
      <c r="Y8" s="563"/>
      <c r="Z8" s="617"/>
      <c r="AA8" s="625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8" ht="12.75">
      <c r="A9" s="352" t="s">
        <v>88</v>
      </c>
      <c r="B9" s="250">
        <v>4026</v>
      </c>
      <c r="C9" s="246" t="s">
        <v>89</v>
      </c>
      <c r="D9" s="245">
        <v>10100212</v>
      </c>
      <c r="E9" s="246" t="s">
        <v>633</v>
      </c>
      <c r="F9" s="245" t="s">
        <v>115</v>
      </c>
      <c r="G9" s="245">
        <v>1281</v>
      </c>
      <c r="H9" s="246" t="s">
        <v>137</v>
      </c>
      <c r="I9" s="245">
        <v>1436663</v>
      </c>
      <c r="J9" s="245" t="s">
        <v>627</v>
      </c>
      <c r="K9" s="246">
        <v>170.5</v>
      </c>
      <c r="L9" s="251" t="s">
        <v>649</v>
      </c>
      <c r="M9" s="250">
        <v>11832</v>
      </c>
      <c r="N9" s="245" t="s">
        <v>48</v>
      </c>
      <c r="O9" s="245">
        <v>0.45</v>
      </c>
      <c r="P9" s="245">
        <v>11.67</v>
      </c>
      <c r="Q9" s="246" t="s">
        <v>92</v>
      </c>
      <c r="R9" s="246" t="s">
        <v>650</v>
      </c>
      <c r="S9" s="246">
        <v>10</v>
      </c>
      <c r="T9" s="246"/>
      <c r="U9" s="246"/>
      <c r="V9" s="246">
        <v>80</v>
      </c>
      <c r="W9" s="350">
        <f>Z9*(I9*2000)*(M9/1000000)/2000</f>
        <v>2311.8091397760004</v>
      </c>
      <c r="X9" s="245">
        <v>0</v>
      </c>
      <c r="Y9" s="245">
        <v>10</v>
      </c>
      <c r="Z9" s="251">
        <v>0.136</v>
      </c>
      <c r="AA9" s="250" t="s">
        <v>609</v>
      </c>
      <c r="AB9" s="247" t="s">
        <v>600</v>
      </c>
    </row>
    <row r="10" spans="1:28" ht="12.75">
      <c r="A10" s="353" t="s">
        <v>88</v>
      </c>
      <c r="B10" s="99">
        <v>4027</v>
      </c>
      <c r="C10" s="93" t="s">
        <v>101</v>
      </c>
      <c r="D10" s="94">
        <v>10100501</v>
      </c>
      <c r="E10" s="93" t="s">
        <v>634</v>
      </c>
      <c r="F10" s="94" t="s">
        <v>115</v>
      </c>
      <c r="G10" s="94">
        <v>1281</v>
      </c>
      <c r="H10" s="93" t="s">
        <v>232</v>
      </c>
      <c r="I10" s="94">
        <v>119924</v>
      </c>
      <c r="J10" s="94" t="s">
        <v>448</v>
      </c>
      <c r="K10" s="93" t="s">
        <v>91</v>
      </c>
      <c r="L10" s="252" t="s">
        <v>91</v>
      </c>
      <c r="M10" s="99">
        <v>140000</v>
      </c>
      <c r="N10" s="94" t="s">
        <v>123</v>
      </c>
      <c r="O10" s="94">
        <v>0.05</v>
      </c>
      <c r="P10" s="94" t="s">
        <v>91</v>
      </c>
      <c r="Q10" s="93" t="s">
        <v>92</v>
      </c>
      <c r="R10" s="93"/>
      <c r="S10" s="93"/>
      <c r="T10" s="93"/>
      <c r="U10" s="93"/>
      <c r="V10" s="93"/>
      <c r="W10" s="349">
        <f>Z10*I10/1000/2000</f>
        <v>0.419734</v>
      </c>
      <c r="X10" s="94">
        <v>0</v>
      </c>
      <c r="Y10" s="94">
        <v>3</v>
      </c>
      <c r="Z10" s="252">
        <v>7</v>
      </c>
      <c r="AA10" s="99" t="s">
        <v>612</v>
      </c>
      <c r="AB10" s="95" t="s">
        <v>651</v>
      </c>
    </row>
    <row r="11" spans="1:28" ht="12.75">
      <c r="A11" s="353" t="s">
        <v>88</v>
      </c>
      <c r="B11" s="99">
        <v>4028</v>
      </c>
      <c r="C11" s="93" t="s">
        <v>88</v>
      </c>
      <c r="D11" s="94">
        <v>10100212</v>
      </c>
      <c r="E11" s="93" t="s">
        <v>633</v>
      </c>
      <c r="F11" s="94" t="s">
        <v>115</v>
      </c>
      <c r="G11" s="94">
        <v>1282</v>
      </c>
      <c r="H11" s="93" t="s">
        <v>137</v>
      </c>
      <c r="I11" s="94">
        <v>1569980</v>
      </c>
      <c r="J11" s="94" t="s">
        <v>627</v>
      </c>
      <c r="K11" s="93">
        <v>170.5</v>
      </c>
      <c r="L11" s="252" t="s">
        <v>91</v>
      </c>
      <c r="M11" s="99">
        <v>11665</v>
      </c>
      <c r="N11" s="94" t="s">
        <v>48</v>
      </c>
      <c r="O11" s="94">
        <v>0.55</v>
      </c>
      <c r="P11" s="94">
        <v>12.11</v>
      </c>
      <c r="Q11" s="93" t="s">
        <v>92</v>
      </c>
      <c r="R11" s="93" t="s">
        <v>650</v>
      </c>
      <c r="S11" s="93">
        <v>10</v>
      </c>
      <c r="T11" s="93"/>
      <c r="U11" s="93"/>
      <c r="V11" s="93">
        <v>80</v>
      </c>
      <c r="W11" s="349">
        <f>Z11*I11*2000*M11/1000000/2000</f>
        <v>2563.934338</v>
      </c>
      <c r="X11" s="94">
        <v>0</v>
      </c>
      <c r="Y11" s="94">
        <v>10</v>
      </c>
      <c r="Z11" s="252">
        <v>0.14</v>
      </c>
      <c r="AA11" s="99" t="s">
        <v>609</v>
      </c>
      <c r="AB11" s="95" t="s">
        <v>600</v>
      </c>
    </row>
    <row r="12" spans="1:28" ht="12.75">
      <c r="A12" s="353" t="s">
        <v>88</v>
      </c>
      <c r="B12" s="99">
        <v>4029</v>
      </c>
      <c r="C12" s="93" t="s">
        <v>103</v>
      </c>
      <c r="D12" s="94">
        <v>10100501</v>
      </c>
      <c r="E12" s="93" t="s">
        <v>634</v>
      </c>
      <c r="F12" s="94" t="s">
        <v>115</v>
      </c>
      <c r="G12" s="94">
        <v>1282</v>
      </c>
      <c r="H12" s="93" t="s">
        <v>232</v>
      </c>
      <c r="I12" s="94">
        <v>76430</v>
      </c>
      <c r="J12" s="94" t="s">
        <v>448</v>
      </c>
      <c r="K12" s="93" t="s">
        <v>91</v>
      </c>
      <c r="L12" s="252" t="s">
        <v>91</v>
      </c>
      <c r="M12" s="99">
        <v>140000</v>
      </c>
      <c r="N12" s="94" t="s">
        <v>123</v>
      </c>
      <c r="O12" s="94">
        <v>0.05</v>
      </c>
      <c r="P12" s="94" t="s">
        <v>91</v>
      </c>
      <c r="Q12" s="93" t="s">
        <v>92</v>
      </c>
      <c r="R12" s="93"/>
      <c r="S12" s="93"/>
      <c r="T12" s="93"/>
      <c r="U12" s="93"/>
      <c r="V12" s="93"/>
      <c r="W12" s="349">
        <f>Z12*I12/1000/2000</f>
        <v>0.267505</v>
      </c>
      <c r="X12" s="94">
        <v>0</v>
      </c>
      <c r="Y12" s="94">
        <v>3</v>
      </c>
      <c r="Z12" s="252">
        <v>7</v>
      </c>
      <c r="AA12" s="99" t="s">
        <v>612</v>
      </c>
      <c r="AB12" s="95" t="s">
        <v>651</v>
      </c>
    </row>
    <row r="13" spans="1:28" ht="12.75">
      <c r="A13" s="353" t="s">
        <v>88</v>
      </c>
      <c r="B13" s="99">
        <v>4030</v>
      </c>
      <c r="C13" s="93" t="s">
        <v>95</v>
      </c>
      <c r="D13" s="94">
        <v>10100212</v>
      </c>
      <c r="E13" s="93" t="s">
        <v>633</v>
      </c>
      <c r="F13" s="94" t="s">
        <v>115</v>
      </c>
      <c r="G13" s="94">
        <v>1283</v>
      </c>
      <c r="H13" s="93" t="s">
        <v>137</v>
      </c>
      <c r="I13" s="94">
        <v>1133561</v>
      </c>
      <c r="J13" s="94" t="s">
        <v>627</v>
      </c>
      <c r="K13" s="93">
        <v>191</v>
      </c>
      <c r="L13" s="252" t="s">
        <v>649</v>
      </c>
      <c r="M13" s="99">
        <v>11545</v>
      </c>
      <c r="N13" s="94" t="s">
        <v>48</v>
      </c>
      <c r="O13" s="94">
        <v>0.46</v>
      </c>
      <c r="P13" s="94">
        <v>12.17</v>
      </c>
      <c r="Q13" s="93" t="s">
        <v>92</v>
      </c>
      <c r="R13" s="93" t="s">
        <v>650</v>
      </c>
      <c r="S13" s="93">
        <v>10</v>
      </c>
      <c r="T13" s="93"/>
      <c r="U13" s="93"/>
      <c r="V13" s="93">
        <v>90</v>
      </c>
      <c r="W13" s="349">
        <f>Z13*I13*2000*M13/1000000/2000</f>
        <v>863.73947517</v>
      </c>
      <c r="X13" s="94">
        <v>0</v>
      </c>
      <c r="Y13" s="94">
        <v>10</v>
      </c>
      <c r="Z13" s="252">
        <v>0.066</v>
      </c>
      <c r="AA13" s="99" t="s">
        <v>609</v>
      </c>
      <c r="AB13" s="95" t="s">
        <v>600</v>
      </c>
    </row>
    <row r="14" spans="1:28" ht="12.75">
      <c r="A14" s="353" t="s">
        <v>88</v>
      </c>
      <c r="B14" s="99">
        <v>4031</v>
      </c>
      <c r="C14" s="93" t="s">
        <v>105</v>
      </c>
      <c r="D14" s="94">
        <v>10100501</v>
      </c>
      <c r="E14" s="93" t="s">
        <v>634</v>
      </c>
      <c r="F14" s="94" t="s">
        <v>115</v>
      </c>
      <c r="G14" s="94">
        <v>1283</v>
      </c>
      <c r="H14" s="93" t="s">
        <v>232</v>
      </c>
      <c r="I14" s="94">
        <v>555754</v>
      </c>
      <c r="J14" s="94" t="s">
        <v>448</v>
      </c>
      <c r="K14" s="93" t="s">
        <v>91</v>
      </c>
      <c r="L14" s="252" t="s">
        <v>91</v>
      </c>
      <c r="M14" s="99">
        <v>140000</v>
      </c>
      <c r="N14" s="94" t="s">
        <v>123</v>
      </c>
      <c r="O14" s="94">
        <v>0.05</v>
      </c>
      <c r="P14" s="94" t="s">
        <v>91</v>
      </c>
      <c r="Q14" s="93" t="s">
        <v>92</v>
      </c>
      <c r="R14" s="93"/>
      <c r="S14" s="93"/>
      <c r="T14" s="93"/>
      <c r="U14" s="93"/>
      <c r="V14" s="93"/>
      <c r="W14" s="349">
        <f>Z14*I14/1000/2000</f>
        <v>1.945139</v>
      </c>
      <c r="X14" s="94">
        <v>0</v>
      </c>
      <c r="Y14" s="94">
        <v>3</v>
      </c>
      <c r="Z14" s="252">
        <v>7</v>
      </c>
      <c r="AA14" s="99" t="s">
        <v>612</v>
      </c>
      <c r="AB14" s="95" t="s">
        <v>651</v>
      </c>
    </row>
    <row r="15" spans="1:28" ht="12.75">
      <c r="A15" s="353" t="s">
        <v>135</v>
      </c>
      <c r="B15" s="99">
        <v>9228</v>
      </c>
      <c r="C15" s="93" t="s">
        <v>603</v>
      </c>
      <c r="D15" s="94">
        <v>30501039</v>
      </c>
      <c r="E15" s="93" t="s">
        <v>629</v>
      </c>
      <c r="F15" s="94" t="s">
        <v>114</v>
      </c>
      <c r="G15" s="94">
        <v>0</v>
      </c>
      <c r="H15" s="93" t="s">
        <v>232</v>
      </c>
      <c r="I15" s="94">
        <v>2080</v>
      </c>
      <c r="J15" s="94" t="s">
        <v>156</v>
      </c>
      <c r="K15" s="93" t="s">
        <v>91</v>
      </c>
      <c r="L15" s="252">
        <v>0</v>
      </c>
      <c r="M15" s="99">
        <v>0</v>
      </c>
      <c r="N15" s="94">
        <v>0</v>
      </c>
      <c r="O15" s="94">
        <v>0</v>
      </c>
      <c r="P15" s="94">
        <v>0</v>
      </c>
      <c r="Q15" s="93" t="s">
        <v>92</v>
      </c>
      <c r="R15" s="93"/>
      <c r="S15" s="93"/>
      <c r="T15" s="93"/>
      <c r="U15" s="93"/>
      <c r="V15" s="93"/>
      <c r="W15" s="349">
        <f>(Z15*I15/2000)*2</f>
        <v>0.936</v>
      </c>
      <c r="X15" s="94" t="s">
        <v>91</v>
      </c>
      <c r="Y15" s="94">
        <v>3</v>
      </c>
      <c r="Z15" s="252">
        <v>0.45</v>
      </c>
      <c r="AA15" s="99" t="s">
        <v>451</v>
      </c>
      <c r="AB15" s="95" t="s">
        <v>635</v>
      </c>
    </row>
    <row r="16" spans="1:28" ht="12.75">
      <c r="A16" s="353" t="s">
        <v>88</v>
      </c>
      <c r="B16" s="99">
        <v>13693</v>
      </c>
      <c r="C16" s="93" t="s">
        <v>227</v>
      </c>
      <c r="D16" s="94">
        <v>10200501</v>
      </c>
      <c r="E16" s="93" t="s">
        <v>636</v>
      </c>
      <c r="F16" s="94" t="s">
        <v>114</v>
      </c>
      <c r="G16" s="94">
        <v>0</v>
      </c>
      <c r="H16" s="93" t="s">
        <v>232</v>
      </c>
      <c r="I16" s="94">
        <v>0</v>
      </c>
      <c r="J16" s="94" t="s">
        <v>448</v>
      </c>
      <c r="K16" s="93">
        <v>840</v>
      </c>
      <c r="L16" s="252" t="s">
        <v>565</v>
      </c>
      <c r="M16" s="99">
        <v>140000</v>
      </c>
      <c r="N16" s="94" t="s">
        <v>123</v>
      </c>
      <c r="O16" s="94">
        <v>0.05</v>
      </c>
      <c r="P16" s="94">
        <v>0</v>
      </c>
      <c r="Q16" s="93" t="s">
        <v>92</v>
      </c>
      <c r="R16" s="93"/>
      <c r="S16" s="93"/>
      <c r="T16" s="93"/>
      <c r="U16" s="93"/>
      <c r="V16" s="93"/>
      <c r="W16" s="349">
        <f>Z16*I16/1000/2000</f>
        <v>0</v>
      </c>
      <c r="X16" s="94">
        <v>0</v>
      </c>
      <c r="Y16" s="94">
        <v>3</v>
      </c>
      <c r="Z16" s="252">
        <v>7</v>
      </c>
      <c r="AA16" s="99" t="s">
        <v>612</v>
      </c>
      <c r="AB16" s="95" t="s">
        <v>651</v>
      </c>
    </row>
    <row r="17" spans="1:28" ht="12.75">
      <c r="A17" s="353" t="s">
        <v>202</v>
      </c>
      <c r="B17" s="99">
        <v>13704</v>
      </c>
      <c r="C17" s="93" t="s">
        <v>617</v>
      </c>
      <c r="D17" s="94">
        <v>20200102</v>
      </c>
      <c r="E17" s="93" t="s">
        <v>637</v>
      </c>
      <c r="F17" s="94" t="s">
        <v>114</v>
      </c>
      <c r="G17" s="94">
        <v>0</v>
      </c>
      <c r="H17" s="93" t="s">
        <v>232</v>
      </c>
      <c r="I17" s="94">
        <v>26</v>
      </c>
      <c r="J17" s="94" t="s">
        <v>156</v>
      </c>
      <c r="K17" s="93">
        <v>1070</v>
      </c>
      <c r="L17" s="252" t="s">
        <v>457</v>
      </c>
      <c r="M17" s="99">
        <v>140000</v>
      </c>
      <c r="N17" s="94" t="s">
        <v>123</v>
      </c>
      <c r="O17" s="94">
        <v>0.1</v>
      </c>
      <c r="P17" s="94">
        <v>0</v>
      </c>
      <c r="Q17" s="93" t="s">
        <v>92</v>
      </c>
      <c r="R17" s="93"/>
      <c r="S17" s="93"/>
      <c r="T17" s="93"/>
      <c r="U17" s="93"/>
      <c r="V17" s="93"/>
      <c r="W17" s="349">
        <f>Z17*I17*K17/2000</f>
        <v>0.029210999999999997</v>
      </c>
      <c r="X17" s="94" t="s">
        <v>91</v>
      </c>
      <c r="Y17" s="94">
        <v>3</v>
      </c>
      <c r="Z17" s="252">
        <v>0.0021</v>
      </c>
      <c r="AA17" s="99" t="s">
        <v>614</v>
      </c>
      <c r="AB17" s="95" t="s">
        <v>638</v>
      </c>
    </row>
    <row r="18" spans="1:28" ht="12.75">
      <c r="A18" s="353" t="s">
        <v>202</v>
      </c>
      <c r="B18" s="99">
        <v>13705</v>
      </c>
      <c r="C18" s="93" t="s">
        <v>620</v>
      </c>
      <c r="D18" s="94">
        <v>20200102</v>
      </c>
      <c r="E18" s="93" t="s">
        <v>639</v>
      </c>
      <c r="F18" s="94" t="s">
        <v>114</v>
      </c>
      <c r="G18" s="94">
        <v>0</v>
      </c>
      <c r="H18" s="93" t="s">
        <v>232</v>
      </c>
      <c r="I18" s="94">
        <v>26</v>
      </c>
      <c r="J18" s="94" t="s">
        <v>156</v>
      </c>
      <c r="K18" s="93">
        <v>1070</v>
      </c>
      <c r="L18" s="252" t="s">
        <v>457</v>
      </c>
      <c r="M18" s="99">
        <v>140000</v>
      </c>
      <c r="N18" s="94" t="s">
        <v>123</v>
      </c>
      <c r="O18" s="94">
        <v>0.1</v>
      </c>
      <c r="P18" s="94">
        <v>0</v>
      </c>
      <c r="Q18" s="93" t="s">
        <v>92</v>
      </c>
      <c r="R18" s="93"/>
      <c r="S18" s="93"/>
      <c r="T18" s="93"/>
      <c r="U18" s="93"/>
      <c r="V18" s="93"/>
      <c r="W18" s="349">
        <f>Z18*I18*K18/2000</f>
        <v>0.029210999999999997</v>
      </c>
      <c r="X18" s="94" t="s">
        <v>91</v>
      </c>
      <c r="Y18" s="94">
        <v>3</v>
      </c>
      <c r="Z18" s="252">
        <v>0.0021</v>
      </c>
      <c r="AA18" s="99" t="s">
        <v>451</v>
      </c>
      <c r="AB18" s="95" t="s">
        <v>638</v>
      </c>
    </row>
    <row r="19" spans="1:28" ht="12.75">
      <c r="A19" s="353" t="s">
        <v>202</v>
      </c>
      <c r="B19" s="99">
        <v>13707</v>
      </c>
      <c r="C19" s="93" t="s">
        <v>640</v>
      </c>
      <c r="D19" s="94">
        <v>20200102</v>
      </c>
      <c r="E19" s="93" t="s">
        <v>641</v>
      </c>
      <c r="F19" s="94" t="s">
        <v>114</v>
      </c>
      <c r="G19" s="94">
        <v>0</v>
      </c>
      <c r="H19" s="93" t="s">
        <v>232</v>
      </c>
      <c r="I19" s="94">
        <v>26</v>
      </c>
      <c r="J19" s="94" t="s">
        <v>156</v>
      </c>
      <c r="K19" s="93">
        <v>915</v>
      </c>
      <c r="L19" s="252" t="s">
        <v>457</v>
      </c>
      <c r="M19" s="99">
        <v>140000</v>
      </c>
      <c r="N19" s="94" t="s">
        <v>123</v>
      </c>
      <c r="O19" s="94">
        <v>0.1</v>
      </c>
      <c r="P19" s="94">
        <v>0</v>
      </c>
      <c r="Q19" s="93" t="s">
        <v>92</v>
      </c>
      <c r="R19" s="93"/>
      <c r="S19" s="93"/>
      <c r="T19" s="93"/>
      <c r="U19" s="93"/>
      <c r="V19" s="93"/>
      <c r="W19" s="349">
        <f>Z19*I19*K19/2000</f>
        <v>0.024979499999999998</v>
      </c>
      <c r="X19" s="94" t="s">
        <v>91</v>
      </c>
      <c r="Y19" s="94">
        <v>3</v>
      </c>
      <c r="Z19" s="252">
        <v>0.0021</v>
      </c>
      <c r="AA19" s="99" t="s">
        <v>451</v>
      </c>
      <c r="AB19" s="95" t="s">
        <v>638</v>
      </c>
    </row>
    <row r="20" spans="1:28" ht="13.5" thickBot="1">
      <c r="A20" s="354" t="s">
        <v>202</v>
      </c>
      <c r="B20" s="100">
        <v>13709</v>
      </c>
      <c r="C20" s="96" t="s">
        <v>642</v>
      </c>
      <c r="D20" s="97">
        <v>20200102</v>
      </c>
      <c r="E20" s="96" t="s">
        <v>643</v>
      </c>
      <c r="F20" s="97" t="s">
        <v>114</v>
      </c>
      <c r="G20" s="97">
        <v>0</v>
      </c>
      <c r="H20" s="96" t="s">
        <v>232</v>
      </c>
      <c r="I20" s="97">
        <v>26</v>
      </c>
      <c r="J20" s="97" t="s">
        <v>156</v>
      </c>
      <c r="K20" s="96">
        <v>180</v>
      </c>
      <c r="L20" s="253" t="s">
        <v>457</v>
      </c>
      <c r="M20" s="100">
        <v>140000</v>
      </c>
      <c r="N20" s="97" t="s">
        <v>123</v>
      </c>
      <c r="O20" s="97">
        <v>0.1</v>
      </c>
      <c r="P20" s="97">
        <v>0</v>
      </c>
      <c r="Q20" s="96" t="s">
        <v>92</v>
      </c>
      <c r="R20" s="96"/>
      <c r="S20" s="96"/>
      <c r="T20" s="96"/>
      <c r="U20" s="96"/>
      <c r="V20" s="96"/>
      <c r="W20" s="351">
        <f>Z20*I20*K20/2000</f>
        <v>0.004914</v>
      </c>
      <c r="X20" s="97" t="s">
        <v>91</v>
      </c>
      <c r="Y20" s="97">
        <v>3</v>
      </c>
      <c r="Z20" s="253">
        <v>0.0021</v>
      </c>
      <c r="AA20" s="100" t="s">
        <v>451</v>
      </c>
      <c r="AB20" s="98" t="s">
        <v>638</v>
      </c>
    </row>
    <row r="21" spans="22:29" ht="13.5" thickBot="1">
      <c r="V21" s="376" t="s">
        <v>118</v>
      </c>
      <c r="W21" s="377">
        <f>SUM(W9:W20)</f>
        <v>5743.139646446</v>
      </c>
      <c r="AC21" t="s">
        <v>950</v>
      </c>
    </row>
    <row r="22" ht="13.5" thickTop="1">
      <c r="C22" s="12" t="s">
        <v>610</v>
      </c>
    </row>
    <row r="23" spans="3:4" ht="12.75">
      <c r="C23">
        <v>4026</v>
      </c>
      <c r="D23" t="s">
        <v>2</v>
      </c>
    </row>
    <row r="24" spans="3:4" ht="12.75">
      <c r="C24">
        <v>4027</v>
      </c>
      <c r="D24" t="s">
        <v>3</v>
      </c>
    </row>
    <row r="25" spans="3:4" ht="12.75">
      <c r="C25">
        <v>4028</v>
      </c>
      <c r="D25" t="s">
        <v>4</v>
      </c>
    </row>
    <row r="26" spans="3:4" ht="12.75">
      <c r="C26">
        <v>4029</v>
      </c>
      <c r="D26" t="s">
        <v>5</v>
      </c>
    </row>
    <row r="27" spans="3:4" ht="12.75">
      <c r="C27">
        <v>4030</v>
      </c>
      <c r="D27" t="s">
        <v>1003</v>
      </c>
    </row>
    <row r="28" spans="3:4" ht="12.75">
      <c r="C28">
        <v>4031</v>
      </c>
      <c r="D28" t="s">
        <v>6</v>
      </c>
    </row>
    <row r="29" spans="3:4" ht="12.75">
      <c r="C29">
        <v>9228</v>
      </c>
      <c r="D29" t="s">
        <v>7</v>
      </c>
    </row>
    <row r="30" spans="3:4" ht="12.75">
      <c r="C30">
        <v>13693</v>
      </c>
      <c r="D30" t="s">
        <v>8</v>
      </c>
    </row>
    <row r="31" spans="3:4" ht="12.75">
      <c r="C31" t="s">
        <v>652</v>
      </c>
      <c r="D31" t="s">
        <v>9</v>
      </c>
    </row>
    <row r="32" spans="3:4" ht="12.75">
      <c r="C32">
        <v>13707</v>
      </c>
      <c r="D32" t="s">
        <v>10</v>
      </c>
    </row>
    <row r="33" spans="3:4" ht="12.75">
      <c r="C33">
        <v>13709</v>
      </c>
      <c r="D33" t="s">
        <v>11</v>
      </c>
    </row>
    <row r="35" ht="12.75">
      <c r="C35" t="s">
        <v>845</v>
      </c>
    </row>
    <row r="36" ht="12.75">
      <c r="D36" t="s">
        <v>959</v>
      </c>
    </row>
    <row r="37" ht="12.75">
      <c r="D37" t="s">
        <v>960</v>
      </c>
    </row>
    <row r="38" ht="12.75">
      <c r="D38" t="s">
        <v>951</v>
      </c>
    </row>
    <row r="39" ht="12.75">
      <c r="D39" t="s">
        <v>958</v>
      </c>
    </row>
    <row r="40" ht="12.75">
      <c r="D40" t="s">
        <v>952</v>
      </c>
    </row>
    <row r="41" ht="12.75">
      <c r="D41" t="s">
        <v>953</v>
      </c>
    </row>
    <row r="42" ht="12.75">
      <c r="D42" t="s">
        <v>954</v>
      </c>
    </row>
    <row r="43" ht="12.75">
      <c r="D43" t="s">
        <v>955</v>
      </c>
    </row>
    <row r="44" ht="12.75">
      <c r="D44" t="s">
        <v>956</v>
      </c>
    </row>
    <row r="45" ht="12.75">
      <c r="D45" t="s">
        <v>957</v>
      </c>
    </row>
    <row r="46" ht="12.75">
      <c r="D46" t="s">
        <v>12</v>
      </c>
    </row>
    <row r="47" ht="12.75">
      <c r="D47" t="s">
        <v>961</v>
      </c>
    </row>
    <row r="48" ht="12.75">
      <c r="D48" t="s">
        <v>962</v>
      </c>
    </row>
    <row r="49" ht="12.75">
      <c r="D49" t="s">
        <v>963</v>
      </c>
    </row>
    <row r="50" ht="12.75">
      <c r="D50" t="s">
        <v>0</v>
      </c>
    </row>
    <row r="51" ht="12.75">
      <c r="D51" t="s">
        <v>1</v>
      </c>
    </row>
  </sheetData>
  <mergeCells count="24"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T7:T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18" right="0.3" top="1.47" bottom="1.59" header="0.42" footer="0.17"/>
  <pageSetup horizontalDpi="600" verticalDpi="600" orientation="landscape" pageOrder="overThenDown" r:id="rId1"/>
  <headerFooter alignWithMargins="0">
    <oddHeader>&amp;L
PacifiCorp
Site Name:  Hunter Power Plant
Site ID:  10237&amp;CRegional Haze
1998 Statewide SOx Sources</oddHeader>
    <oddFooter>&amp;R&amp;D
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N5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6.140625" style="0" customWidth="1"/>
    <col min="3" max="3" width="7.00390625" style="0" customWidth="1"/>
    <col min="4" max="4" width="9.7109375" style="0" customWidth="1"/>
    <col min="5" max="5" width="38.28125" style="0" customWidth="1"/>
    <col min="6" max="6" width="5.7109375" style="0" customWidth="1"/>
    <col min="7" max="7" width="10.57421875" style="0" customWidth="1"/>
    <col min="8" max="8" width="15.421875" style="0" customWidth="1"/>
    <col min="9" max="9" width="8.421875" style="0" customWidth="1"/>
    <col min="10" max="10" width="12.57421875" style="0" customWidth="1"/>
    <col min="11" max="11" width="7.28125" style="0" customWidth="1"/>
    <col min="12" max="12" width="8.7109375" style="0" customWidth="1"/>
    <col min="13" max="13" width="8.421875" style="0" customWidth="1"/>
    <col min="15" max="15" width="7.00390625" style="0" customWidth="1"/>
    <col min="16" max="16" width="5.8515625" style="0" customWidth="1"/>
    <col min="18" max="18" width="10.7109375" style="0" customWidth="1"/>
    <col min="20" max="20" width="13.28125" style="0" customWidth="1"/>
    <col min="22" max="22" width="9.7109375" style="0" customWidth="1"/>
    <col min="23" max="23" width="10.57421875" style="0" customWidth="1"/>
    <col min="24" max="24" width="11.7109375" style="0" customWidth="1"/>
    <col min="25" max="25" width="8.421875" style="0" customWidth="1"/>
    <col min="27" max="27" width="12.421875" style="0" customWidth="1"/>
    <col min="28" max="28" width="19.7109375" style="0" customWidth="1"/>
  </cols>
  <sheetData>
    <row r="1" spans="1:5" ht="15.75">
      <c r="A1" s="12" t="s">
        <v>42</v>
      </c>
      <c r="B1" s="12"/>
      <c r="C1" s="49" t="s">
        <v>597</v>
      </c>
      <c r="E1" s="2" t="s">
        <v>84</v>
      </c>
    </row>
    <row r="2" spans="1:5" ht="15">
      <c r="A2" s="12"/>
      <c r="B2" s="12"/>
      <c r="E2" s="3" t="s">
        <v>850</v>
      </c>
    </row>
    <row r="3" spans="1:3" ht="12.75">
      <c r="A3" s="12" t="s">
        <v>53</v>
      </c>
      <c r="B3" s="12" t="s">
        <v>54</v>
      </c>
      <c r="C3" s="49" t="s">
        <v>482</v>
      </c>
    </row>
    <row r="4" spans="1:2" ht="12.75">
      <c r="A4" s="48">
        <v>10238</v>
      </c>
      <c r="B4" s="12"/>
    </row>
    <row r="5" ht="13.5" thickBot="1"/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14" t="s">
        <v>305</v>
      </c>
      <c r="X6" s="541" t="s">
        <v>74</v>
      </c>
      <c r="Y6" s="541" t="s">
        <v>76</v>
      </c>
      <c r="Z6" s="603" t="s">
        <v>77</v>
      </c>
      <c r="AA6" s="56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706</v>
      </c>
      <c r="S7" s="557" t="s">
        <v>73</v>
      </c>
      <c r="T7" s="557" t="s">
        <v>675</v>
      </c>
      <c r="U7" s="557" t="s">
        <v>73</v>
      </c>
      <c r="V7" s="557"/>
      <c r="W7" s="615"/>
      <c r="X7" s="557"/>
      <c r="Y7" s="557"/>
      <c r="Z7" s="604"/>
      <c r="AA7" s="624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16"/>
      <c r="X8" s="563"/>
      <c r="Y8" s="563"/>
      <c r="Z8" s="617"/>
      <c r="AA8" s="625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8" ht="12.75">
      <c r="A9" s="331" t="s">
        <v>88</v>
      </c>
      <c r="B9" s="332">
        <v>4032</v>
      </c>
      <c r="C9" s="333" t="s">
        <v>89</v>
      </c>
      <c r="D9" s="332">
        <v>10100212</v>
      </c>
      <c r="E9" s="333" t="s">
        <v>615</v>
      </c>
      <c r="F9" s="332" t="s">
        <v>115</v>
      </c>
      <c r="G9" s="332">
        <v>1284</v>
      </c>
      <c r="H9" s="333" t="s">
        <v>137</v>
      </c>
      <c r="I9" s="332">
        <v>1534183</v>
      </c>
      <c r="J9" s="332" t="s">
        <v>627</v>
      </c>
      <c r="K9" s="332">
        <v>171.2</v>
      </c>
      <c r="L9" s="343" t="s">
        <v>563</v>
      </c>
      <c r="M9" s="346">
        <v>11291</v>
      </c>
      <c r="N9" s="332" t="s">
        <v>628</v>
      </c>
      <c r="O9" s="332">
        <v>0.43</v>
      </c>
      <c r="P9" s="332">
        <v>14.51</v>
      </c>
      <c r="Q9" s="333" t="s">
        <v>92</v>
      </c>
      <c r="R9" s="333" t="s">
        <v>446</v>
      </c>
      <c r="S9" s="333">
        <v>10</v>
      </c>
      <c r="T9" s="333"/>
      <c r="U9" s="333"/>
      <c r="V9" s="333">
        <v>80</v>
      </c>
      <c r="W9" s="334">
        <f>(Z9*M9*I9*2000)/1000000/2000</f>
        <v>2373.1770546610005</v>
      </c>
      <c r="X9" s="332">
        <v>0</v>
      </c>
      <c r="Y9" s="332">
        <v>10</v>
      </c>
      <c r="Z9" s="343">
        <v>0.137</v>
      </c>
      <c r="AA9" s="346" t="s">
        <v>567</v>
      </c>
      <c r="AB9" s="335" t="s">
        <v>600</v>
      </c>
    </row>
    <row r="10" spans="1:28" ht="12.75">
      <c r="A10" s="336" t="s">
        <v>88</v>
      </c>
      <c r="B10" s="329">
        <v>4033</v>
      </c>
      <c r="C10" s="328" t="s">
        <v>95</v>
      </c>
      <c r="D10" s="329">
        <v>10100501</v>
      </c>
      <c r="E10" s="328" t="s">
        <v>615</v>
      </c>
      <c r="F10" s="329" t="s">
        <v>115</v>
      </c>
      <c r="G10" s="329">
        <v>1284</v>
      </c>
      <c r="H10" s="328" t="s">
        <v>232</v>
      </c>
      <c r="I10" s="329">
        <v>173.909</v>
      </c>
      <c r="J10" s="329" t="s">
        <v>573</v>
      </c>
      <c r="K10" s="329"/>
      <c r="L10" s="344"/>
      <c r="M10" s="347">
        <v>140000</v>
      </c>
      <c r="N10" s="329" t="s">
        <v>123</v>
      </c>
      <c r="O10" s="329">
        <v>0.05</v>
      </c>
      <c r="P10" s="329" t="s">
        <v>91</v>
      </c>
      <c r="Q10" s="328" t="s">
        <v>92</v>
      </c>
      <c r="R10" s="328"/>
      <c r="S10" s="328"/>
      <c r="T10" s="328"/>
      <c r="U10" s="328"/>
      <c r="V10" s="328"/>
      <c r="W10" s="330">
        <f>Z10*I10/2000</f>
        <v>0.6086814999999999</v>
      </c>
      <c r="X10" s="329">
        <v>0</v>
      </c>
      <c r="Y10" s="329">
        <v>3</v>
      </c>
      <c r="Z10" s="344">
        <v>7</v>
      </c>
      <c r="AA10" s="347" t="s">
        <v>441</v>
      </c>
      <c r="AB10" s="337" t="s">
        <v>632</v>
      </c>
    </row>
    <row r="11" spans="1:28" ht="12.75">
      <c r="A11" s="336" t="s">
        <v>88</v>
      </c>
      <c r="B11" s="329">
        <v>4034</v>
      </c>
      <c r="C11" s="328" t="s">
        <v>88</v>
      </c>
      <c r="D11" s="329">
        <v>10100212</v>
      </c>
      <c r="E11" s="328" t="s">
        <v>615</v>
      </c>
      <c r="F11" s="329" t="s">
        <v>114</v>
      </c>
      <c r="G11" s="329">
        <v>1285</v>
      </c>
      <c r="H11" s="328" t="s">
        <v>137</v>
      </c>
      <c r="I11" s="329">
        <v>1376292</v>
      </c>
      <c r="J11" s="329" t="s">
        <v>627</v>
      </c>
      <c r="K11" s="329">
        <v>171.2</v>
      </c>
      <c r="L11" s="344" t="s">
        <v>563</v>
      </c>
      <c r="M11" s="347">
        <v>11203</v>
      </c>
      <c r="N11" s="329" t="s">
        <v>628</v>
      </c>
      <c r="O11" s="329">
        <v>0.43</v>
      </c>
      <c r="P11" s="329">
        <v>15.03</v>
      </c>
      <c r="Q11" s="328" t="s">
        <v>92</v>
      </c>
      <c r="R11" s="328" t="s">
        <v>446</v>
      </c>
      <c r="S11" s="328">
        <v>10</v>
      </c>
      <c r="T11" s="328"/>
      <c r="U11" s="328"/>
      <c r="V11" s="328"/>
      <c r="W11" s="330">
        <f>Z11*I11*M11*2000/1000000/2000</f>
        <v>10469.228908404002</v>
      </c>
      <c r="X11" s="329">
        <v>0</v>
      </c>
      <c r="Y11" s="329">
        <v>10</v>
      </c>
      <c r="Z11" s="344">
        <v>0.679</v>
      </c>
      <c r="AA11" s="347" t="s">
        <v>567</v>
      </c>
      <c r="AB11" s="337" t="s">
        <v>600</v>
      </c>
    </row>
    <row r="12" spans="1:28" ht="12.75">
      <c r="A12" s="336" t="s">
        <v>88</v>
      </c>
      <c r="B12" s="329">
        <v>4035</v>
      </c>
      <c r="C12" s="328" t="s">
        <v>101</v>
      </c>
      <c r="D12" s="329">
        <v>10100501</v>
      </c>
      <c r="E12" s="328" t="s">
        <v>615</v>
      </c>
      <c r="F12" s="329" t="s">
        <v>114</v>
      </c>
      <c r="G12" s="329">
        <v>1285</v>
      </c>
      <c r="H12" s="328" t="s">
        <v>232</v>
      </c>
      <c r="I12" s="329">
        <v>359.615</v>
      </c>
      <c r="J12" s="329" t="s">
        <v>573</v>
      </c>
      <c r="K12" s="329"/>
      <c r="L12" s="344"/>
      <c r="M12" s="347">
        <v>140000</v>
      </c>
      <c r="N12" s="329" t="s">
        <v>123</v>
      </c>
      <c r="O12" s="329">
        <v>0.05</v>
      </c>
      <c r="P12" s="329" t="s">
        <v>91</v>
      </c>
      <c r="Q12" s="328" t="s">
        <v>92</v>
      </c>
      <c r="R12" s="328"/>
      <c r="S12" s="328"/>
      <c r="T12" s="328"/>
      <c r="U12" s="328"/>
      <c r="V12" s="328"/>
      <c r="W12" s="330">
        <f>Z12*I12/2000</f>
        <v>1.2586525000000002</v>
      </c>
      <c r="X12" s="329">
        <v>0</v>
      </c>
      <c r="Y12" s="329">
        <v>3</v>
      </c>
      <c r="Z12" s="344">
        <v>7</v>
      </c>
      <c r="AA12" s="347" t="s">
        <v>441</v>
      </c>
      <c r="AB12" s="337" t="s">
        <v>632</v>
      </c>
    </row>
    <row r="13" spans="1:28" ht="12.75">
      <c r="A13" s="336" t="s">
        <v>135</v>
      </c>
      <c r="B13" s="329">
        <v>9309</v>
      </c>
      <c r="C13" s="328" t="s">
        <v>603</v>
      </c>
      <c r="D13" s="329">
        <v>30501039</v>
      </c>
      <c r="E13" s="328" t="s">
        <v>629</v>
      </c>
      <c r="F13" s="329" t="s">
        <v>114</v>
      </c>
      <c r="G13" s="329">
        <v>0</v>
      </c>
      <c r="H13" s="328" t="s">
        <v>232</v>
      </c>
      <c r="I13" s="329">
        <v>2080</v>
      </c>
      <c r="J13" s="329" t="s">
        <v>445</v>
      </c>
      <c r="K13" s="329"/>
      <c r="L13" s="344"/>
      <c r="M13" s="347">
        <v>0</v>
      </c>
      <c r="N13" s="329">
        <v>0</v>
      </c>
      <c r="O13" s="329">
        <v>0</v>
      </c>
      <c r="P13" s="329">
        <v>0</v>
      </c>
      <c r="Q13" s="328" t="s">
        <v>92</v>
      </c>
      <c r="R13" s="328"/>
      <c r="S13" s="328"/>
      <c r="T13" s="328"/>
      <c r="U13" s="328"/>
      <c r="V13" s="328"/>
      <c r="W13" s="330">
        <f>(Z13*I13/2000)*2</f>
        <v>0.936</v>
      </c>
      <c r="X13" s="329" t="s">
        <v>91</v>
      </c>
      <c r="Y13" s="329">
        <v>3</v>
      </c>
      <c r="Z13" s="344">
        <v>0.45</v>
      </c>
      <c r="AA13" s="347" t="s">
        <v>630</v>
      </c>
      <c r="AB13" s="337" t="s">
        <v>616</v>
      </c>
    </row>
    <row r="14" spans="1:28" ht="12.75">
      <c r="A14" s="336" t="s">
        <v>88</v>
      </c>
      <c r="B14" s="329">
        <v>13720</v>
      </c>
      <c r="C14" s="328" t="s">
        <v>617</v>
      </c>
      <c r="D14" s="329">
        <v>10200501</v>
      </c>
      <c r="E14" s="328" t="s">
        <v>618</v>
      </c>
      <c r="F14" s="329" t="s">
        <v>114</v>
      </c>
      <c r="G14" s="329">
        <v>3723</v>
      </c>
      <c r="H14" s="328" t="s">
        <v>619</v>
      </c>
      <c r="I14" s="329">
        <v>8.778</v>
      </c>
      <c r="J14" s="329" t="s">
        <v>573</v>
      </c>
      <c r="K14" s="329">
        <v>840</v>
      </c>
      <c r="L14" s="344" t="s">
        <v>631</v>
      </c>
      <c r="M14" s="347">
        <v>140000</v>
      </c>
      <c r="N14" s="329" t="s">
        <v>123</v>
      </c>
      <c r="O14" s="329">
        <v>0.05</v>
      </c>
      <c r="P14" s="329">
        <v>0</v>
      </c>
      <c r="Q14" s="328" t="s">
        <v>92</v>
      </c>
      <c r="R14" s="328"/>
      <c r="S14" s="328"/>
      <c r="T14" s="328"/>
      <c r="U14" s="328"/>
      <c r="V14" s="328"/>
      <c r="W14" s="330">
        <f>Z14*I14/2000</f>
        <v>0.030723000000000004</v>
      </c>
      <c r="X14" s="329">
        <v>0</v>
      </c>
      <c r="Y14" s="329">
        <v>3</v>
      </c>
      <c r="Z14" s="344">
        <v>7</v>
      </c>
      <c r="AA14" s="347" t="s">
        <v>441</v>
      </c>
      <c r="AB14" s="337" t="s">
        <v>632</v>
      </c>
    </row>
    <row r="15" spans="1:28" ht="12.75">
      <c r="A15" s="336" t="s">
        <v>88</v>
      </c>
      <c r="B15" s="329">
        <v>13721</v>
      </c>
      <c r="C15" s="328" t="s">
        <v>620</v>
      </c>
      <c r="D15" s="329">
        <v>10200501</v>
      </c>
      <c r="E15" s="328" t="s">
        <v>621</v>
      </c>
      <c r="F15" s="329" t="s">
        <v>114</v>
      </c>
      <c r="G15" s="329">
        <v>3724</v>
      </c>
      <c r="H15" s="328" t="s">
        <v>619</v>
      </c>
      <c r="I15" s="329">
        <v>15.6</v>
      </c>
      <c r="J15" s="329" t="s">
        <v>573</v>
      </c>
      <c r="K15" s="329">
        <v>650</v>
      </c>
      <c r="L15" s="344" t="s">
        <v>631</v>
      </c>
      <c r="M15" s="347">
        <v>140000</v>
      </c>
      <c r="N15" s="329" t="s">
        <v>123</v>
      </c>
      <c r="O15" s="329">
        <v>0.05</v>
      </c>
      <c r="P15" s="329">
        <v>0</v>
      </c>
      <c r="Q15" s="328" t="s">
        <v>92</v>
      </c>
      <c r="R15" s="328"/>
      <c r="S15" s="328"/>
      <c r="T15" s="328"/>
      <c r="U15" s="328"/>
      <c r="V15" s="328"/>
      <c r="W15" s="330">
        <f>Z15*I15/2000</f>
        <v>0.0546</v>
      </c>
      <c r="X15" s="329">
        <v>0</v>
      </c>
      <c r="Y15" s="329">
        <v>3</v>
      </c>
      <c r="Z15" s="344">
        <v>7</v>
      </c>
      <c r="AA15" s="347" t="s">
        <v>441</v>
      </c>
      <c r="AB15" s="337" t="s">
        <v>632</v>
      </c>
    </row>
    <row r="16" spans="1:28" ht="12.75">
      <c r="A16" s="336" t="s">
        <v>202</v>
      </c>
      <c r="B16" s="329">
        <v>13730</v>
      </c>
      <c r="C16" s="328" t="s">
        <v>135</v>
      </c>
      <c r="D16" s="329">
        <v>20200102</v>
      </c>
      <c r="E16" s="328" t="s">
        <v>622</v>
      </c>
      <c r="F16" s="329" t="s">
        <v>114</v>
      </c>
      <c r="G16" s="329">
        <v>0</v>
      </c>
      <c r="H16" s="328" t="s">
        <v>232</v>
      </c>
      <c r="I16" s="329">
        <v>46</v>
      </c>
      <c r="J16" s="329" t="s">
        <v>445</v>
      </c>
      <c r="K16" s="329">
        <v>1155</v>
      </c>
      <c r="L16" s="344" t="s">
        <v>457</v>
      </c>
      <c r="M16" s="347">
        <v>140000</v>
      </c>
      <c r="N16" s="329" t="s">
        <v>123</v>
      </c>
      <c r="O16" s="329">
        <v>0.05</v>
      </c>
      <c r="P16" s="329">
        <v>0</v>
      </c>
      <c r="Q16" s="328" t="s">
        <v>92</v>
      </c>
      <c r="R16" s="328"/>
      <c r="S16" s="328"/>
      <c r="T16" s="328"/>
      <c r="U16" s="328"/>
      <c r="V16" s="328"/>
      <c r="W16" s="330">
        <f>Z16*I16*K16/2000</f>
        <v>0.055786499999999996</v>
      </c>
      <c r="X16" s="329" t="s">
        <v>91</v>
      </c>
      <c r="Y16" s="329">
        <v>3</v>
      </c>
      <c r="Z16" s="344">
        <v>0.0021</v>
      </c>
      <c r="AA16" s="347" t="s">
        <v>614</v>
      </c>
      <c r="AB16" s="337" t="s">
        <v>623</v>
      </c>
    </row>
    <row r="17" spans="1:28" ht="12.75">
      <c r="A17" s="336" t="s">
        <v>202</v>
      </c>
      <c r="B17" s="329">
        <v>13731</v>
      </c>
      <c r="C17" s="328" t="s">
        <v>606</v>
      </c>
      <c r="D17" s="329">
        <v>20200102</v>
      </c>
      <c r="E17" s="328" t="s">
        <v>624</v>
      </c>
      <c r="F17" s="329" t="s">
        <v>114</v>
      </c>
      <c r="G17" s="329">
        <v>0</v>
      </c>
      <c r="H17" s="328" t="s">
        <v>232</v>
      </c>
      <c r="I17" s="329">
        <v>51</v>
      </c>
      <c r="J17" s="329" t="s">
        <v>445</v>
      </c>
      <c r="K17" s="329">
        <v>1155</v>
      </c>
      <c r="L17" s="344" t="s">
        <v>457</v>
      </c>
      <c r="M17" s="347">
        <v>140000</v>
      </c>
      <c r="N17" s="329" t="s">
        <v>123</v>
      </c>
      <c r="O17" s="329">
        <v>0.05</v>
      </c>
      <c r="P17" s="329">
        <v>0</v>
      </c>
      <c r="Q17" s="328" t="s">
        <v>92</v>
      </c>
      <c r="R17" s="328"/>
      <c r="S17" s="328"/>
      <c r="T17" s="328"/>
      <c r="U17" s="328"/>
      <c r="V17" s="328"/>
      <c r="W17" s="330">
        <f>Z17*I17*K17/2000</f>
        <v>0.061850249999999996</v>
      </c>
      <c r="X17" s="329" t="s">
        <v>91</v>
      </c>
      <c r="Y17" s="329">
        <v>3</v>
      </c>
      <c r="Z17" s="344">
        <v>0.0021</v>
      </c>
      <c r="AA17" s="347" t="s">
        <v>614</v>
      </c>
      <c r="AB17" s="337" t="s">
        <v>623</v>
      </c>
    </row>
    <row r="18" spans="1:28" ht="13.5" thickBot="1">
      <c r="A18" s="338" t="s">
        <v>202</v>
      </c>
      <c r="B18" s="339">
        <v>13732</v>
      </c>
      <c r="C18" s="340" t="s">
        <v>625</v>
      </c>
      <c r="D18" s="339">
        <v>20200102</v>
      </c>
      <c r="E18" s="340" t="s">
        <v>626</v>
      </c>
      <c r="F18" s="339" t="s">
        <v>114</v>
      </c>
      <c r="G18" s="339">
        <v>0</v>
      </c>
      <c r="H18" s="340" t="s">
        <v>232</v>
      </c>
      <c r="I18" s="339">
        <v>821</v>
      </c>
      <c r="J18" s="339" t="s">
        <v>445</v>
      </c>
      <c r="K18" s="339">
        <v>250</v>
      </c>
      <c r="L18" s="345" t="s">
        <v>457</v>
      </c>
      <c r="M18" s="348">
        <v>140000</v>
      </c>
      <c r="N18" s="339" t="s">
        <v>123</v>
      </c>
      <c r="O18" s="339">
        <v>0.1</v>
      </c>
      <c r="P18" s="339">
        <v>0</v>
      </c>
      <c r="Q18" s="340" t="s">
        <v>92</v>
      </c>
      <c r="R18" s="340"/>
      <c r="S18" s="340"/>
      <c r="T18" s="340"/>
      <c r="U18" s="340"/>
      <c r="V18" s="340"/>
      <c r="W18" s="341">
        <f>Z18*I18*K18/2000</f>
        <v>0.2155125</v>
      </c>
      <c r="X18" s="339" t="s">
        <v>91</v>
      </c>
      <c r="Y18" s="339">
        <v>3</v>
      </c>
      <c r="Z18" s="345">
        <v>0.0021</v>
      </c>
      <c r="AA18" s="348" t="s">
        <v>614</v>
      </c>
      <c r="AB18" s="342" t="s">
        <v>623</v>
      </c>
    </row>
    <row r="19" spans="22:23" ht="13.5" thickBot="1">
      <c r="V19" s="376" t="s">
        <v>412</v>
      </c>
      <c r="W19" s="377">
        <f>SUM(W9:W18)</f>
        <v>12845.627769315002</v>
      </c>
    </row>
    <row r="20" ht="13.5" thickTop="1">
      <c r="C20" s="12" t="s">
        <v>610</v>
      </c>
    </row>
    <row r="22" spans="3:4" ht="12.75">
      <c r="C22">
        <v>4032</v>
      </c>
      <c r="D22" t="s">
        <v>940</v>
      </c>
    </row>
    <row r="23" spans="3:4" ht="12.75">
      <c r="C23">
        <v>4033</v>
      </c>
      <c r="D23" t="s">
        <v>941</v>
      </c>
    </row>
    <row r="24" spans="3:4" ht="12.75">
      <c r="C24">
        <v>4034</v>
      </c>
      <c r="D24" t="s">
        <v>942</v>
      </c>
    </row>
    <row r="25" spans="3:4" ht="12.75">
      <c r="C25">
        <v>4035</v>
      </c>
      <c r="D25" t="s">
        <v>943</v>
      </c>
    </row>
    <row r="26" spans="3:4" ht="12.75">
      <c r="C26">
        <v>9309</v>
      </c>
      <c r="D26" t="s">
        <v>949</v>
      </c>
    </row>
    <row r="27" spans="3:4" ht="12.75">
      <c r="C27">
        <v>13720</v>
      </c>
      <c r="D27" t="s">
        <v>944</v>
      </c>
    </row>
    <row r="28" spans="3:4" ht="12.75">
      <c r="C28">
        <v>13721</v>
      </c>
      <c r="D28" t="s">
        <v>945</v>
      </c>
    </row>
    <row r="29" spans="3:4" ht="12.75">
      <c r="C29">
        <v>13730</v>
      </c>
      <c r="D29" t="s">
        <v>947</v>
      </c>
    </row>
    <row r="30" spans="3:4" ht="12.75">
      <c r="C30">
        <v>13731</v>
      </c>
      <c r="D30" t="s">
        <v>946</v>
      </c>
    </row>
    <row r="31" spans="3:4" ht="12.75">
      <c r="C31">
        <v>13732</v>
      </c>
      <c r="D31" t="s">
        <v>948</v>
      </c>
    </row>
    <row r="38" ht="12.75">
      <c r="C38" t="s">
        <v>845</v>
      </c>
    </row>
    <row r="39" ht="12.75">
      <c r="D39" t="s">
        <v>928</v>
      </c>
    </row>
    <row r="40" ht="12.75">
      <c r="D40" t="s">
        <v>929</v>
      </c>
    </row>
    <row r="41" ht="12.75">
      <c r="D41" t="s">
        <v>930</v>
      </c>
    </row>
    <row r="42" ht="12.75">
      <c r="D42" t="s">
        <v>931</v>
      </c>
    </row>
    <row r="43" ht="12.75">
      <c r="D43" t="s">
        <v>937</v>
      </c>
    </row>
    <row r="44" ht="12.75">
      <c r="D44" t="s">
        <v>935</v>
      </c>
    </row>
    <row r="45" ht="12.75">
      <c r="D45" t="s">
        <v>932</v>
      </c>
    </row>
    <row r="46" ht="12.75">
      <c r="D46" t="s">
        <v>933</v>
      </c>
    </row>
    <row r="47" ht="12.75">
      <c r="D47" t="s">
        <v>934</v>
      </c>
    </row>
    <row r="48" ht="12.75">
      <c r="D48" t="s">
        <v>936</v>
      </c>
    </row>
    <row r="49" ht="12.75">
      <c r="D49" t="s">
        <v>939</v>
      </c>
    </row>
    <row r="50" ht="12.75">
      <c r="D50" t="s">
        <v>938</v>
      </c>
    </row>
  </sheetData>
  <mergeCells count="24"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T7:T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18" right="0.16" top="1.58" bottom="1" header="0.5" footer="0.5"/>
  <pageSetup horizontalDpi="600" verticalDpi="600" orientation="landscape" pageOrder="overThenDown" r:id="rId1"/>
  <headerFooter alignWithMargins="0">
    <oddHeader>&amp;L
PacifiCorp
Site Name:  Huntington Power Plant
Site ID:  10238&amp;C&amp;"Arial,Bold"Regional Haze&amp;"Arial,Regular"
1998 Statewide SOx Sources</oddHeader>
    <oddFooter>&amp;R&amp;D
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N5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421875" style="0" customWidth="1"/>
    <col min="3" max="3" width="8.57421875" style="0" customWidth="1"/>
    <col min="4" max="4" width="9.7109375" style="0" customWidth="1"/>
    <col min="5" max="5" width="24.7109375" style="0" customWidth="1"/>
    <col min="7" max="7" width="11.140625" style="0" customWidth="1"/>
    <col min="8" max="8" width="12.421875" style="0" customWidth="1"/>
    <col min="10" max="10" width="10.57421875" style="0" customWidth="1"/>
    <col min="11" max="11" width="7.7109375" style="0" customWidth="1"/>
    <col min="14" max="14" width="7.421875" style="0" customWidth="1"/>
    <col min="15" max="15" width="7.57421875" style="0" customWidth="1"/>
    <col min="16" max="16" width="6.57421875" style="0" customWidth="1"/>
    <col min="18" max="18" width="10.7109375" style="0" customWidth="1"/>
    <col min="20" max="20" width="11.8515625" style="0" customWidth="1"/>
    <col min="22" max="22" width="9.8515625" style="0" customWidth="1"/>
    <col min="23" max="23" width="2.7109375" style="0" customWidth="1"/>
    <col min="24" max="24" width="9.57421875" style="0" customWidth="1"/>
    <col min="25" max="25" width="11.7109375" style="0" customWidth="1"/>
    <col min="27" max="27" width="9.28125" style="0" customWidth="1"/>
    <col min="28" max="28" width="10.7109375" style="0" customWidth="1"/>
    <col min="29" max="29" width="26.57421875" style="0" customWidth="1"/>
  </cols>
  <sheetData>
    <row r="1" spans="1:5" ht="15.75">
      <c r="A1" s="12" t="s">
        <v>42</v>
      </c>
      <c r="B1" s="12"/>
      <c r="C1" s="44" t="s">
        <v>500</v>
      </c>
      <c r="E1" s="2" t="s">
        <v>84</v>
      </c>
    </row>
    <row r="2" spans="1:9" ht="15">
      <c r="A2" s="12"/>
      <c r="B2" s="12"/>
      <c r="E2" s="3" t="s">
        <v>850</v>
      </c>
      <c r="H2" s="41"/>
      <c r="I2" s="41"/>
    </row>
    <row r="3" spans="1:3" ht="12.75">
      <c r="A3" s="12" t="s">
        <v>53</v>
      </c>
      <c r="B3" s="12" t="s">
        <v>54</v>
      </c>
      <c r="C3" s="44" t="s">
        <v>480</v>
      </c>
    </row>
    <row r="4" spans="1:2" ht="12.75">
      <c r="A4" s="43">
        <v>10123</v>
      </c>
      <c r="B4" s="12"/>
    </row>
    <row r="5" ht="13.5" thickBot="1"/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31" t="s">
        <v>305</v>
      </c>
      <c r="X6" s="632"/>
      <c r="Y6" s="549" t="s">
        <v>74</v>
      </c>
      <c r="Z6" s="549" t="s">
        <v>76</v>
      </c>
      <c r="AA6" s="549" t="s">
        <v>77</v>
      </c>
      <c r="AB6" s="549" t="s">
        <v>78</v>
      </c>
      <c r="AC6" s="636" t="s">
        <v>79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675</v>
      </c>
      <c r="U7" s="557" t="s">
        <v>73</v>
      </c>
      <c r="V7" s="557"/>
      <c r="W7" s="633"/>
      <c r="X7" s="634"/>
      <c r="Y7" s="638"/>
      <c r="Z7" s="638"/>
      <c r="AA7" s="638"/>
      <c r="AB7" s="638"/>
      <c r="AC7" s="637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33"/>
      <c r="X8" s="634"/>
      <c r="Y8" s="638"/>
      <c r="Z8" s="638"/>
      <c r="AA8" s="638"/>
      <c r="AB8" s="638"/>
      <c r="AC8" s="637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29" ht="12.75">
      <c r="A9" s="272" t="s">
        <v>88</v>
      </c>
      <c r="B9" s="273">
        <v>2668</v>
      </c>
      <c r="C9" s="274" t="s">
        <v>501</v>
      </c>
      <c r="D9" s="273">
        <v>30600106</v>
      </c>
      <c r="E9" s="274" t="s">
        <v>502</v>
      </c>
      <c r="F9" s="273" t="s">
        <v>114</v>
      </c>
      <c r="G9" s="273">
        <v>281</v>
      </c>
      <c r="H9" s="274" t="s">
        <v>861</v>
      </c>
      <c r="I9" s="273">
        <v>172.781</v>
      </c>
      <c r="J9" s="273" t="s">
        <v>540</v>
      </c>
      <c r="K9" s="274">
        <v>38</v>
      </c>
      <c r="L9" s="285" t="s">
        <v>494</v>
      </c>
      <c r="M9" s="283">
        <v>925</v>
      </c>
      <c r="N9" s="273" t="s">
        <v>537</v>
      </c>
      <c r="O9" s="273">
        <v>0</v>
      </c>
      <c r="P9" s="273">
        <v>0</v>
      </c>
      <c r="Q9" s="274" t="s">
        <v>92</v>
      </c>
      <c r="R9" s="274"/>
      <c r="S9" s="274"/>
      <c r="T9" s="274"/>
      <c r="U9" s="274"/>
      <c r="V9" s="274"/>
      <c r="W9" s="274"/>
      <c r="X9" s="485">
        <f>AA9*I9/2000</f>
        <v>0.2067324665</v>
      </c>
      <c r="Y9" s="273">
        <v>0</v>
      </c>
      <c r="Z9" s="273">
        <v>5</v>
      </c>
      <c r="AA9" s="273">
        <v>2.393</v>
      </c>
      <c r="AB9" s="273" t="s">
        <v>538</v>
      </c>
      <c r="AC9" s="275" t="s">
        <v>91</v>
      </c>
    </row>
    <row r="10" spans="1:29" ht="12.75">
      <c r="A10" s="276" t="s">
        <v>88</v>
      </c>
      <c r="B10" s="265">
        <v>2669</v>
      </c>
      <c r="C10" s="264" t="s">
        <v>504</v>
      </c>
      <c r="D10" s="265">
        <v>30600106</v>
      </c>
      <c r="E10" s="264" t="s">
        <v>502</v>
      </c>
      <c r="F10" s="265" t="s">
        <v>114</v>
      </c>
      <c r="G10" s="265">
        <v>282</v>
      </c>
      <c r="H10" s="264" t="s">
        <v>503</v>
      </c>
      <c r="I10" s="265">
        <v>278.626</v>
      </c>
      <c r="J10" s="265" t="s">
        <v>540</v>
      </c>
      <c r="K10" s="264">
        <v>71</v>
      </c>
      <c r="L10" s="286" t="s">
        <v>494</v>
      </c>
      <c r="M10" s="284">
        <v>925</v>
      </c>
      <c r="N10" s="265" t="s">
        <v>537</v>
      </c>
      <c r="O10" s="265">
        <v>0</v>
      </c>
      <c r="P10" s="265">
        <v>0</v>
      </c>
      <c r="Q10" s="264" t="s">
        <v>92</v>
      </c>
      <c r="R10" s="264"/>
      <c r="S10" s="264"/>
      <c r="T10" s="264"/>
      <c r="U10" s="264"/>
      <c r="V10" s="264"/>
      <c r="W10" s="264"/>
      <c r="X10" s="271">
        <f>AA10*I10/2000</f>
        <v>0.333376009</v>
      </c>
      <c r="Y10" s="265">
        <v>0</v>
      </c>
      <c r="Z10" s="265">
        <v>5</v>
      </c>
      <c r="AA10" s="265">
        <v>2.393</v>
      </c>
      <c r="AB10" s="265" t="s">
        <v>538</v>
      </c>
      <c r="AC10" s="277" t="s">
        <v>91</v>
      </c>
    </row>
    <row r="11" spans="1:29" ht="12.75">
      <c r="A11" s="276" t="s">
        <v>88</v>
      </c>
      <c r="B11" s="265">
        <v>2672</v>
      </c>
      <c r="C11" s="264" t="s">
        <v>505</v>
      </c>
      <c r="D11" s="265">
        <v>30600106</v>
      </c>
      <c r="E11" s="264" t="s">
        <v>502</v>
      </c>
      <c r="F11" s="265" t="s">
        <v>114</v>
      </c>
      <c r="G11" s="265">
        <v>283</v>
      </c>
      <c r="H11" s="264" t="s">
        <v>503</v>
      </c>
      <c r="I11" s="265">
        <v>231.843</v>
      </c>
      <c r="J11" s="265" t="s">
        <v>540</v>
      </c>
      <c r="K11" s="264">
        <v>55</v>
      </c>
      <c r="L11" s="286" t="s">
        <v>494</v>
      </c>
      <c r="M11" s="284">
        <v>925</v>
      </c>
      <c r="N11" s="265" t="s">
        <v>537</v>
      </c>
      <c r="O11" s="265">
        <v>0</v>
      </c>
      <c r="P11" s="265">
        <v>0</v>
      </c>
      <c r="Q11" s="264" t="s">
        <v>92</v>
      </c>
      <c r="R11" s="264" t="s">
        <v>539</v>
      </c>
      <c r="S11" s="264">
        <v>99</v>
      </c>
      <c r="T11" s="264"/>
      <c r="U11" s="264"/>
      <c r="V11" s="264"/>
      <c r="W11" s="264"/>
      <c r="X11" s="271">
        <v>501.46</v>
      </c>
      <c r="Y11" s="265"/>
      <c r="Z11" s="265" t="s">
        <v>91</v>
      </c>
      <c r="AA11" s="265">
        <v>123.76</v>
      </c>
      <c r="AB11" s="265" t="s">
        <v>394</v>
      </c>
      <c r="AC11" s="277" t="s">
        <v>858</v>
      </c>
    </row>
    <row r="12" spans="1:29" ht="12.75">
      <c r="A12" s="276" t="s">
        <v>88</v>
      </c>
      <c r="B12" s="265">
        <v>2675</v>
      </c>
      <c r="C12" s="264" t="s">
        <v>506</v>
      </c>
      <c r="D12" s="265">
        <v>30600106</v>
      </c>
      <c r="E12" s="264" t="s">
        <v>507</v>
      </c>
      <c r="F12" s="265" t="s">
        <v>114</v>
      </c>
      <c r="G12" s="265">
        <v>284</v>
      </c>
      <c r="H12" s="264" t="s">
        <v>205</v>
      </c>
      <c r="I12" s="265">
        <v>0</v>
      </c>
      <c r="J12" s="265" t="s">
        <v>445</v>
      </c>
      <c r="K12" s="264" t="s">
        <v>91</v>
      </c>
      <c r="L12" s="286">
        <v>0</v>
      </c>
      <c r="M12" s="284">
        <v>0</v>
      </c>
      <c r="N12" s="265">
        <v>0</v>
      </c>
      <c r="O12" s="265">
        <v>0</v>
      </c>
      <c r="P12" s="265">
        <v>0</v>
      </c>
      <c r="Q12" s="264" t="s">
        <v>92</v>
      </c>
      <c r="R12" s="264"/>
      <c r="S12" s="264"/>
      <c r="T12" s="264"/>
      <c r="U12" s="264"/>
      <c r="V12" s="264"/>
      <c r="W12" s="264"/>
      <c r="X12" s="271">
        <v>0</v>
      </c>
      <c r="Y12" s="265"/>
      <c r="Z12" s="265" t="s">
        <v>91</v>
      </c>
      <c r="AA12" s="265">
        <v>123.76</v>
      </c>
      <c r="AB12" s="265" t="s">
        <v>451</v>
      </c>
      <c r="AC12" s="277" t="s">
        <v>542</v>
      </c>
    </row>
    <row r="13" spans="1:29" ht="12.75">
      <c r="A13" s="276" t="s">
        <v>88</v>
      </c>
      <c r="B13" s="265">
        <v>2677</v>
      </c>
      <c r="C13" s="264" t="s">
        <v>508</v>
      </c>
      <c r="D13" s="265">
        <v>30600106</v>
      </c>
      <c r="E13" s="264" t="s">
        <v>509</v>
      </c>
      <c r="F13" s="265" t="s">
        <v>114</v>
      </c>
      <c r="G13" s="265">
        <v>2954</v>
      </c>
      <c r="H13" s="264" t="s">
        <v>503</v>
      </c>
      <c r="I13" s="265">
        <v>39.48</v>
      </c>
      <c r="J13" s="265" t="s">
        <v>540</v>
      </c>
      <c r="K13" s="264">
        <v>7.1</v>
      </c>
      <c r="L13" s="286" t="s">
        <v>494</v>
      </c>
      <c r="M13" s="284">
        <v>925</v>
      </c>
      <c r="N13" s="265" t="s">
        <v>537</v>
      </c>
      <c r="O13" s="265">
        <v>0</v>
      </c>
      <c r="P13" s="265">
        <v>0</v>
      </c>
      <c r="Q13" s="264" t="s">
        <v>92</v>
      </c>
      <c r="R13" s="264"/>
      <c r="S13" s="264"/>
      <c r="T13" s="264"/>
      <c r="U13" s="264"/>
      <c r="V13" s="264"/>
      <c r="W13" s="264"/>
      <c r="X13" s="271">
        <f>AA13*I13/2000</f>
        <v>0.04723781999999999</v>
      </c>
      <c r="Y13" s="265">
        <v>0</v>
      </c>
      <c r="Z13" s="265">
        <v>5</v>
      </c>
      <c r="AA13" s="265">
        <v>2.393</v>
      </c>
      <c r="AB13" s="265" t="s">
        <v>538</v>
      </c>
      <c r="AC13" s="277" t="s">
        <v>91</v>
      </c>
    </row>
    <row r="14" spans="1:29" ht="12.75">
      <c r="A14" s="276" t="s">
        <v>88</v>
      </c>
      <c r="B14" s="265">
        <v>3393</v>
      </c>
      <c r="C14" s="264" t="s">
        <v>510</v>
      </c>
      <c r="D14" s="265">
        <v>30600106</v>
      </c>
      <c r="E14" s="264" t="s">
        <v>509</v>
      </c>
      <c r="F14" s="265" t="s">
        <v>114</v>
      </c>
      <c r="G14" s="265">
        <v>264</v>
      </c>
      <c r="H14" s="264" t="s">
        <v>503</v>
      </c>
      <c r="I14" s="265">
        <v>135.125</v>
      </c>
      <c r="J14" s="265" t="s">
        <v>540</v>
      </c>
      <c r="K14" s="264">
        <v>32</v>
      </c>
      <c r="L14" s="286" t="s">
        <v>494</v>
      </c>
      <c r="M14" s="284">
        <v>925</v>
      </c>
      <c r="N14" s="265" t="s">
        <v>537</v>
      </c>
      <c r="O14" s="265">
        <v>0</v>
      </c>
      <c r="P14" s="265">
        <v>0</v>
      </c>
      <c r="Q14" s="264" t="s">
        <v>92</v>
      </c>
      <c r="R14" s="264"/>
      <c r="S14" s="264"/>
      <c r="T14" s="264"/>
      <c r="U14" s="264"/>
      <c r="V14" s="264"/>
      <c r="W14" s="264"/>
      <c r="X14" s="271">
        <f>AA14*I14/2000</f>
        <v>0.16167706249999997</v>
      </c>
      <c r="Y14" s="265">
        <v>0</v>
      </c>
      <c r="Z14" s="265">
        <v>5</v>
      </c>
      <c r="AA14" s="265">
        <v>2.393</v>
      </c>
      <c r="AB14" s="265" t="s">
        <v>538</v>
      </c>
      <c r="AC14" s="277" t="s">
        <v>91</v>
      </c>
    </row>
    <row r="15" spans="1:29" ht="12.75">
      <c r="A15" s="276" t="s">
        <v>88</v>
      </c>
      <c r="B15" s="265">
        <v>3394</v>
      </c>
      <c r="C15" s="264" t="s">
        <v>511</v>
      </c>
      <c r="D15" s="265">
        <v>30600106</v>
      </c>
      <c r="E15" s="264" t="s">
        <v>509</v>
      </c>
      <c r="F15" s="265" t="s">
        <v>114</v>
      </c>
      <c r="G15" s="265">
        <v>2956</v>
      </c>
      <c r="H15" s="264" t="s">
        <v>503</v>
      </c>
      <c r="I15" s="265">
        <v>15.463</v>
      </c>
      <c r="J15" s="265" t="s">
        <v>540</v>
      </c>
      <c r="K15" s="264">
        <v>2.4</v>
      </c>
      <c r="L15" s="286" t="s">
        <v>494</v>
      </c>
      <c r="M15" s="284">
        <v>925</v>
      </c>
      <c r="N15" s="265" t="s">
        <v>537</v>
      </c>
      <c r="O15" s="265">
        <v>0</v>
      </c>
      <c r="P15" s="265">
        <v>0</v>
      </c>
      <c r="Q15" s="264" t="s">
        <v>92</v>
      </c>
      <c r="R15" s="264"/>
      <c r="S15" s="264"/>
      <c r="T15" s="264"/>
      <c r="U15" s="264"/>
      <c r="V15" s="264"/>
      <c r="W15" s="264"/>
      <c r="X15" s="271">
        <f>AA15*I15/2000</f>
        <v>0.018501479499999997</v>
      </c>
      <c r="Y15" s="265">
        <v>0</v>
      </c>
      <c r="Z15" s="265">
        <v>5</v>
      </c>
      <c r="AA15" s="265">
        <v>2.393</v>
      </c>
      <c r="AB15" s="265" t="s">
        <v>538</v>
      </c>
      <c r="AC15" s="277" t="s">
        <v>91</v>
      </c>
    </row>
    <row r="16" spans="1:29" ht="12.75">
      <c r="A16" s="276" t="s">
        <v>88</v>
      </c>
      <c r="B16" s="265">
        <v>3395</v>
      </c>
      <c r="C16" s="264" t="s">
        <v>512</v>
      </c>
      <c r="D16" s="265">
        <v>30600106</v>
      </c>
      <c r="E16" s="264" t="s">
        <v>509</v>
      </c>
      <c r="F16" s="265" t="s">
        <v>114</v>
      </c>
      <c r="G16" s="265">
        <v>266</v>
      </c>
      <c r="H16" s="264" t="s">
        <v>503</v>
      </c>
      <c r="I16" s="265">
        <v>92.849</v>
      </c>
      <c r="J16" s="265" t="s">
        <v>540</v>
      </c>
      <c r="K16" s="264">
        <v>10.8</v>
      </c>
      <c r="L16" s="286" t="s">
        <v>494</v>
      </c>
      <c r="M16" s="284">
        <v>925</v>
      </c>
      <c r="N16" s="265" t="s">
        <v>537</v>
      </c>
      <c r="O16" s="265">
        <v>0</v>
      </c>
      <c r="P16" s="265">
        <v>0</v>
      </c>
      <c r="Q16" s="264" t="s">
        <v>92</v>
      </c>
      <c r="R16" s="264"/>
      <c r="S16" s="264"/>
      <c r="T16" s="264"/>
      <c r="U16" s="264"/>
      <c r="V16" s="264"/>
      <c r="W16" s="264"/>
      <c r="X16" s="271">
        <f>AA16*I16/2000</f>
        <v>0.1110938285</v>
      </c>
      <c r="Y16" s="265">
        <v>0</v>
      </c>
      <c r="Z16" s="265">
        <v>5</v>
      </c>
      <c r="AA16" s="265">
        <v>2.393</v>
      </c>
      <c r="AB16" s="265" t="s">
        <v>538</v>
      </c>
      <c r="AC16" s="277" t="s">
        <v>91</v>
      </c>
    </row>
    <row r="17" spans="1:29" ht="12.75">
      <c r="A17" s="276" t="s">
        <v>88</v>
      </c>
      <c r="B17" s="265">
        <v>3396</v>
      </c>
      <c r="C17" s="264" t="s">
        <v>513</v>
      </c>
      <c r="D17" s="265">
        <v>30600106</v>
      </c>
      <c r="E17" s="264" t="s">
        <v>514</v>
      </c>
      <c r="F17" s="265" t="s">
        <v>115</v>
      </c>
      <c r="G17" s="265">
        <v>2957</v>
      </c>
      <c r="H17" s="264" t="s">
        <v>503</v>
      </c>
      <c r="I17" s="265">
        <v>17.029</v>
      </c>
      <c r="J17" s="265" t="s">
        <v>540</v>
      </c>
      <c r="K17" s="264" t="s">
        <v>215</v>
      </c>
      <c r="L17" s="286" t="s">
        <v>494</v>
      </c>
      <c r="M17" s="284">
        <v>925</v>
      </c>
      <c r="N17" s="265" t="s">
        <v>537</v>
      </c>
      <c r="O17" s="265">
        <v>0</v>
      </c>
      <c r="P17" s="265">
        <v>0</v>
      </c>
      <c r="Q17" s="264" t="s">
        <v>92</v>
      </c>
      <c r="R17" s="264" t="s">
        <v>116</v>
      </c>
      <c r="S17" s="264">
        <v>45</v>
      </c>
      <c r="T17" s="264"/>
      <c r="U17" s="264"/>
      <c r="V17" s="264"/>
      <c r="W17" s="264"/>
      <c r="X17" s="271">
        <v>146.02</v>
      </c>
      <c r="Y17" s="265"/>
      <c r="Z17" s="265">
        <v>1</v>
      </c>
      <c r="AA17" s="265"/>
      <c r="AB17" s="265"/>
      <c r="AC17" s="277" t="s">
        <v>515</v>
      </c>
    </row>
    <row r="18" spans="1:29" ht="12.75">
      <c r="A18" s="276" t="s">
        <v>88</v>
      </c>
      <c r="B18" s="265">
        <v>3397</v>
      </c>
      <c r="C18" s="264" t="s">
        <v>516</v>
      </c>
      <c r="D18" s="265">
        <v>30600301</v>
      </c>
      <c r="E18" s="264" t="s">
        <v>517</v>
      </c>
      <c r="F18" s="265" t="s">
        <v>114</v>
      </c>
      <c r="G18" s="265">
        <v>260</v>
      </c>
      <c r="H18" s="264" t="s">
        <v>503</v>
      </c>
      <c r="I18" s="267">
        <v>0</v>
      </c>
      <c r="J18" s="267" t="s">
        <v>540</v>
      </c>
      <c r="K18" s="264">
        <v>12</v>
      </c>
      <c r="L18" s="286" t="s">
        <v>494</v>
      </c>
      <c r="M18" s="284">
        <v>925</v>
      </c>
      <c r="N18" s="265" t="s">
        <v>537</v>
      </c>
      <c r="O18" s="265">
        <v>0</v>
      </c>
      <c r="P18" s="265">
        <v>0</v>
      </c>
      <c r="Q18" s="264" t="s">
        <v>92</v>
      </c>
      <c r="R18" s="264"/>
      <c r="S18" s="264"/>
      <c r="T18" s="264"/>
      <c r="U18" s="264"/>
      <c r="V18" s="264"/>
      <c r="W18" s="264"/>
      <c r="X18" s="271">
        <f>((I18*K18*AA18)/M17)/2000</f>
        <v>0</v>
      </c>
      <c r="Y18" s="265">
        <v>0</v>
      </c>
      <c r="Z18" s="265">
        <v>5</v>
      </c>
      <c r="AA18" s="265">
        <v>2.393</v>
      </c>
      <c r="AB18" s="265" t="s">
        <v>538</v>
      </c>
      <c r="AC18" s="277" t="s">
        <v>91</v>
      </c>
    </row>
    <row r="19" spans="1:29" ht="12.75">
      <c r="A19" s="276" t="s">
        <v>88</v>
      </c>
      <c r="B19" s="265">
        <v>3704</v>
      </c>
      <c r="C19" s="264" t="s">
        <v>518</v>
      </c>
      <c r="D19" s="265">
        <v>30600106</v>
      </c>
      <c r="E19" s="264" t="s">
        <v>509</v>
      </c>
      <c r="F19" s="265" t="s">
        <v>114</v>
      </c>
      <c r="G19" s="265">
        <v>267</v>
      </c>
      <c r="H19" s="264" t="s">
        <v>503</v>
      </c>
      <c r="I19" s="265">
        <v>43.755</v>
      </c>
      <c r="J19" s="265" t="s">
        <v>540</v>
      </c>
      <c r="K19" s="264">
        <v>18.5</v>
      </c>
      <c r="L19" s="286" t="s">
        <v>494</v>
      </c>
      <c r="M19" s="284">
        <v>925</v>
      </c>
      <c r="N19" s="265" t="s">
        <v>537</v>
      </c>
      <c r="O19" s="265">
        <v>0</v>
      </c>
      <c r="P19" s="265">
        <v>0</v>
      </c>
      <c r="Q19" s="264" t="s">
        <v>92</v>
      </c>
      <c r="R19" s="264"/>
      <c r="S19" s="264"/>
      <c r="T19" s="264"/>
      <c r="U19" s="264"/>
      <c r="V19" s="264"/>
      <c r="W19" s="264"/>
      <c r="X19" s="271">
        <f>AA19*I19/2000</f>
        <v>0.0523528575</v>
      </c>
      <c r="Y19" s="265">
        <v>0</v>
      </c>
      <c r="Z19" s="265">
        <v>5</v>
      </c>
      <c r="AA19" s="265">
        <v>2.393</v>
      </c>
      <c r="AB19" s="265" t="s">
        <v>538</v>
      </c>
      <c r="AC19" s="277" t="s">
        <v>91</v>
      </c>
    </row>
    <row r="20" spans="1:29" ht="12.75">
      <c r="A20" s="276" t="s">
        <v>88</v>
      </c>
      <c r="B20" s="265">
        <v>3706</v>
      </c>
      <c r="C20" s="264" t="s">
        <v>519</v>
      </c>
      <c r="D20" s="265">
        <v>30600106</v>
      </c>
      <c r="E20" s="264" t="s">
        <v>509</v>
      </c>
      <c r="F20" s="265" t="s">
        <v>115</v>
      </c>
      <c r="G20" s="265">
        <v>269</v>
      </c>
      <c r="H20" s="264" t="s">
        <v>503</v>
      </c>
      <c r="I20" s="265">
        <v>12.946</v>
      </c>
      <c r="J20" s="265" t="s">
        <v>540</v>
      </c>
      <c r="K20" s="264">
        <v>3.5</v>
      </c>
      <c r="L20" s="286" t="s">
        <v>494</v>
      </c>
      <c r="M20" s="284">
        <v>925</v>
      </c>
      <c r="N20" s="265" t="s">
        <v>537</v>
      </c>
      <c r="O20" s="265">
        <v>0</v>
      </c>
      <c r="P20" s="265">
        <v>0</v>
      </c>
      <c r="Q20" s="264" t="s">
        <v>92</v>
      </c>
      <c r="R20" s="264"/>
      <c r="S20" s="264"/>
      <c r="T20" s="264"/>
      <c r="U20" s="264"/>
      <c r="V20" s="264"/>
      <c r="W20" s="264"/>
      <c r="X20" s="271">
        <f>AA20*I20/2000</f>
        <v>0.015489888999999998</v>
      </c>
      <c r="Y20" s="265">
        <v>0</v>
      </c>
      <c r="Z20" s="265">
        <v>5</v>
      </c>
      <c r="AA20" s="265">
        <v>2.393</v>
      </c>
      <c r="AB20" s="265" t="s">
        <v>538</v>
      </c>
      <c r="AC20" s="277" t="s">
        <v>91</v>
      </c>
    </row>
    <row r="21" spans="1:29" ht="12.75">
      <c r="A21" s="276" t="s">
        <v>88</v>
      </c>
      <c r="B21" s="265">
        <v>3707</v>
      </c>
      <c r="C21" s="264" t="s">
        <v>520</v>
      </c>
      <c r="D21" s="265">
        <v>10500106</v>
      </c>
      <c r="E21" s="264" t="s">
        <v>521</v>
      </c>
      <c r="F21" s="265" t="s">
        <v>114</v>
      </c>
      <c r="G21" s="265">
        <v>272</v>
      </c>
      <c r="H21" s="264" t="s">
        <v>503</v>
      </c>
      <c r="I21" s="265">
        <v>0</v>
      </c>
      <c r="J21" s="265" t="s">
        <v>536</v>
      </c>
      <c r="K21" s="264">
        <v>9.2</v>
      </c>
      <c r="L21" s="286" t="s">
        <v>494</v>
      </c>
      <c r="M21" s="284">
        <v>925</v>
      </c>
      <c r="N21" s="265" t="s">
        <v>537</v>
      </c>
      <c r="O21" s="265">
        <v>0</v>
      </c>
      <c r="P21" s="265">
        <v>0</v>
      </c>
      <c r="Q21" s="264" t="s">
        <v>92</v>
      </c>
      <c r="R21" s="264"/>
      <c r="S21" s="264"/>
      <c r="T21" s="264"/>
      <c r="U21" s="264"/>
      <c r="V21" s="264"/>
      <c r="W21" s="264"/>
      <c r="X21" s="271">
        <f>((AA21*I21)/1000)/2000</f>
        <v>0</v>
      </c>
      <c r="Y21" s="265">
        <v>0</v>
      </c>
      <c r="Z21" s="265">
        <v>5</v>
      </c>
      <c r="AA21" s="265">
        <v>2.393</v>
      </c>
      <c r="AB21" s="265" t="s">
        <v>538</v>
      </c>
      <c r="AC21" s="277" t="s">
        <v>91</v>
      </c>
    </row>
    <row r="22" spans="1:29" ht="12.75">
      <c r="A22" s="276" t="s">
        <v>88</v>
      </c>
      <c r="B22" s="265">
        <v>3711</v>
      </c>
      <c r="C22" s="264" t="s">
        <v>522</v>
      </c>
      <c r="D22" s="265">
        <v>10500106</v>
      </c>
      <c r="E22" s="264" t="s">
        <v>521</v>
      </c>
      <c r="F22" s="265" t="s">
        <v>114</v>
      </c>
      <c r="G22" s="265">
        <v>276</v>
      </c>
      <c r="H22" s="264" t="s">
        <v>503</v>
      </c>
      <c r="I22" s="265">
        <v>306</v>
      </c>
      <c r="J22" s="265" t="s">
        <v>536</v>
      </c>
      <c r="K22" s="264">
        <v>11.3</v>
      </c>
      <c r="L22" s="286" t="s">
        <v>494</v>
      </c>
      <c r="M22" s="284">
        <v>925</v>
      </c>
      <c r="N22" s="265" t="s">
        <v>537</v>
      </c>
      <c r="O22" s="265">
        <v>0</v>
      </c>
      <c r="P22" s="265">
        <v>0</v>
      </c>
      <c r="Q22" s="264" t="s">
        <v>92</v>
      </c>
      <c r="R22" s="264"/>
      <c r="S22" s="264"/>
      <c r="T22" s="264"/>
      <c r="U22" s="264"/>
      <c r="V22" s="264"/>
      <c r="W22" s="264"/>
      <c r="X22" s="271">
        <f>AA22*I22/1000/2000</f>
        <v>0.000366129</v>
      </c>
      <c r="Y22" s="265">
        <v>0</v>
      </c>
      <c r="Z22" s="265">
        <v>5</v>
      </c>
      <c r="AA22" s="265">
        <v>2.393</v>
      </c>
      <c r="AB22" s="265" t="s">
        <v>538</v>
      </c>
      <c r="AC22" s="277" t="s">
        <v>91</v>
      </c>
    </row>
    <row r="23" spans="1:29" ht="12.75">
      <c r="A23" s="276">
        <v>2</v>
      </c>
      <c r="B23" s="265">
        <v>3931</v>
      </c>
      <c r="C23" s="268" t="s">
        <v>523</v>
      </c>
      <c r="D23" s="265">
        <v>30600301</v>
      </c>
      <c r="E23" s="264" t="s">
        <v>544</v>
      </c>
      <c r="F23" s="265" t="s">
        <v>114</v>
      </c>
      <c r="G23" s="72">
        <v>259</v>
      </c>
      <c r="H23" s="72" t="s">
        <v>503</v>
      </c>
      <c r="I23" s="265">
        <v>207.579</v>
      </c>
      <c r="J23" s="265" t="s">
        <v>540</v>
      </c>
      <c r="K23" s="269">
        <v>78.8</v>
      </c>
      <c r="L23" s="286" t="s">
        <v>494</v>
      </c>
      <c r="M23" s="284">
        <v>925</v>
      </c>
      <c r="N23" s="265" t="s">
        <v>537</v>
      </c>
      <c r="O23" s="265">
        <v>0</v>
      </c>
      <c r="P23" s="265">
        <v>0</v>
      </c>
      <c r="Q23" s="264" t="s">
        <v>92</v>
      </c>
      <c r="R23" s="264"/>
      <c r="S23" s="264"/>
      <c r="T23" s="264"/>
      <c r="U23" s="264"/>
      <c r="V23" s="264"/>
      <c r="W23" s="264"/>
      <c r="X23" s="271">
        <f>AA23*I23/2000</f>
        <v>0.2483682735</v>
      </c>
      <c r="Y23" s="265">
        <v>0</v>
      </c>
      <c r="Z23" s="265">
        <v>5</v>
      </c>
      <c r="AA23" s="265">
        <v>2.393</v>
      </c>
      <c r="AB23" s="265" t="s">
        <v>538</v>
      </c>
      <c r="AC23" s="277"/>
    </row>
    <row r="24" spans="1:29" ht="12.75">
      <c r="A24" s="276" t="s">
        <v>88</v>
      </c>
      <c r="B24" s="265">
        <v>3936</v>
      </c>
      <c r="C24" s="264" t="s">
        <v>524</v>
      </c>
      <c r="D24" s="265">
        <v>30600202</v>
      </c>
      <c r="E24" s="264" t="s">
        <v>509</v>
      </c>
      <c r="F24" s="265" t="s">
        <v>114</v>
      </c>
      <c r="G24" s="265">
        <v>262</v>
      </c>
      <c r="H24" s="264" t="s">
        <v>503</v>
      </c>
      <c r="I24" s="265">
        <v>131.656</v>
      </c>
      <c r="J24" s="265" t="s">
        <v>540</v>
      </c>
      <c r="K24" s="264">
        <v>29.1</v>
      </c>
      <c r="L24" s="286" t="s">
        <v>494</v>
      </c>
      <c r="M24" s="284">
        <v>925</v>
      </c>
      <c r="N24" s="265" t="s">
        <v>537</v>
      </c>
      <c r="O24" s="265">
        <v>0</v>
      </c>
      <c r="P24" s="265">
        <v>0</v>
      </c>
      <c r="Q24" s="264" t="s">
        <v>92</v>
      </c>
      <c r="R24" s="264"/>
      <c r="S24" s="264"/>
      <c r="T24" s="264"/>
      <c r="U24" s="264"/>
      <c r="V24" s="264"/>
      <c r="W24" s="264"/>
      <c r="X24" s="271">
        <f>AA24*I24/2000</f>
        <v>0.15752640399999998</v>
      </c>
      <c r="Y24" s="265">
        <v>0</v>
      </c>
      <c r="Z24" s="265">
        <v>5</v>
      </c>
      <c r="AA24" s="265">
        <v>2.393</v>
      </c>
      <c r="AB24" s="265" t="s">
        <v>538</v>
      </c>
      <c r="AC24" s="277" t="s">
        <v>91</v>
      </c>
    </row>
    <row r="25" spans="1:29" ht="12.75">
      <c r="A25" s="276" t="s">
        <v>88</v>
      </c>
      <c r="B25" s="265">
        <v>3937</v>
      </c>
      <c r="C25" s="264" t="s">
        <v>525</v>
      </c>
      <c r="D25" s="265">
        <v>30600202</v>
      </c>
      <c r="E25" s="264" t="s">
        <v>509</v>
      </c>
      <c r="F25" s="265" t="s">
        <v>114</v>
      </c>
      <c r="G25" s="265">
        <v>263</v>
      </c>
      <c r="H25" s="264" t="s">
        <v>503</v>
      </c>
      <c r="I25" s="265">
        <v>46.118</v>
      </c>
      <c r="J25" s="265" t="s">
        <v>540</v>
      </c>
      <c r="K25" s="264">
        <v>11</v>
      </c>
      <c r="L25" s="286" t="s">
        <v>494</v>
      </c>
      <c r="M25" s="284">
        <v>925</v>
      </c>
      <c r="N25" s="265" t="s">
        <v>537</v>
      </c>
      <c r="O25" s="265">
        <v>0</v>
      </c>
      <c r="P25" s="265">
        <v>0</v>
      </c>
      <c r="Q25" s="264" t="s">
        <v>92</v>
      </c>
      <c r="R25" s="264"/>
      <c r="S25" s="264"/>
      <c r="T25" s="264"/>
      <c r="U25" s="264"/>
      <c r="V25" s="264"/>
      <c r="W25" s="264"/>
      <c r="X25" s="271">
        <f>AA25*I25/2000</f>
        <v>0.055180187</v>
      </c>
      <c r="Y25" s="265">
        <v>0</v>
      </c>
      <c r="Z25" s="265">
        <v>5</v>
      </c>
      <c r="AA25" s="265">
        <v>2.393</v>
      </c>
      <c r="AB25" s="265" t="s">
        <v>538</v>
      </c>
      <c r="AC25" s="277" t="s">
        <v>91</v>
      </c>
    </row>
    <row r="26" spans="1:29" ht="12.75">
      <c r="A26" s="276" t="s">
        <v>88</v>
      </c>
      <c r="B26" s="265">
        <v>3938</v>
      </c>
      <c r="C26" s="264" t="s">
        <v>526</v>
      </c>
      <c r="D26" s="265">
        <v>30600101</v>
      </c>
      <c r="E26" s="264" t="s">
        <v>509</v>
      </c>
      <c r="F26" s="265" t="s">
        <v>115</v>
      </c>
      <c r="G26" s="265">
        <v>265</v>
      </c>
      <c r="H26" s="264" t="s">
        <v>503</v>
      </c>
      <c r="I26" s="265">
        <v>686.329</v>
      </c>
      <c r="J26" s="265" t="s">
        <v>540</v>
      </c>
      <c r="K26" s="264">
        <v>83.7</v>
      </c>
      <c r="L26" s="286" t="s">
        <v>494</v>
      </c>
      <c r="M26" s="284">
        <v>925</v>
      </c>
      <c r="N26" s="265" t="s">
        <v>537</v>
      </c>
      <c r="O26" s="265">
        <v>0</v>
      </c>
      <c r="P26" s="265">
        <v>0</v>
      </c>
      <c r="Q26" s="264" t="s">
        <v>92</v>
      </c>
      <c r="R26" s="264"/>
      <c r="S26" s="264"/>
      <c r="T26" s="264"/>
      <c r="U26" s="264"/>
      <c r="V26" s="264"/>
      <c r="W26" s="264" t="s">
        <v>440</v>
      </c>
      <c r="X26" s="271">
        <f>AA26*I26/2000+Y26</f>
        <v>38.4211926485</v>
      </c>
      <c r="Y26" s="265">
        <v>37.6</v>
      </c>
      <c r="Z26" s="265">
        <v>5</v>
      </c>
      <c r="AA26" s="265">
        <v>2.393</v>
      </c>
      <c r="AB26" s="265" t="s">
        <v>538</v>
      </c>
      <c r="AC26" s="277" t="s">
        <v>91</v>
      </c>
    </row>
    <row r="27" spans="1:29" ht="12.75">
      <c r="A27" s="276" t="s">
        <v>88</v>
      </c>
      <c r="B27" s="265">
        <v>3940</v>
      </c>
      <c r="C27" s="264" t="s">
        <v>527</v>
      </c>
      <c r="D27" s="265">
        <v>30600106</v>
      </c>
      <c r="E27" s="264" t="s">
        <v>509</v>
      </c>
      <c r="F27" s="265" t="s">
        <v>114</v>
      </c>
      <c r="G27" s="265">
        <v>268</v>
      </c>
      <c r="H27" s="264" t="s">
        <v>503</v>
      </c>
      <c r="I27" s="265">
        <v>196.479</v>
      </c>
      <c r="J27" s="265" t="s">
        <v>540</v>
      </c>
      <c r="K27" s="264">
        <v>36.4</v>
      </c>
      <c r="L27" s="286" t="s">
        <v>494</v>
      </c>
      <c r="M27" s="284">
        <v>925</v>
      </c>
      <c r="N27" s="265" t="s">
        <v>537</v>
      </c>
      <c r="O27" s="265">
        <v>0</v>
      </c>
      <c r="P27" s="265">
        <v>0</v>
      </c>
      <c r="Q27" s="264" t="s">
        <v>92</v>
      </c>
      <c r="R27" s="264"/>
      <c r="S27" s="264"/>
      <c r="T27" s="264"/>
      <c r="U27" s="264"/>
      <c r="V27" s="264"/>
      <c r="W27" s="264"/>
      <c r="X27" s="271">
        <f>AA27*I27/2000</f>
        <v>0.2350871235</v>
      </c>
      <c r="Y27" s="265">
        <v>0</v>
      </c>
      <c r="Z27" s="265">
        <v>5</v>
      </c>
      <c r="AA27" s="265">
        <v>2.393</v>
      </c>
      <c r="AB27" s="265" t="s">
        <v>538</v>
      </c>
      <c r="AC27" s="277" t="s">
        <v>91</v>
      </c>
    </row>
    <row r="28" spans="1:29" ht="12.75">
      <c r="A28" s="276" t="s">
        <v>88</v>
      </c>
      <c r="B28" s="265">
        <v>3941</v>
      </c>
      <c r="C28" s="264" t="s">
        <v>528</v>
      </c>
      <c r="D28" s="265">
        <v>30600106</v>
      </c>
      <c r="E28" s="264" t="s">
        <v>509</v>
      </c>
      <c r="F28" s="265" t="s">
        <v>114</v>
      </c>
      <c r="G28" s="265">
        <v>270</v>
      </c>
      <c r="H28" s="264" t="s">
        <v>503</v>
      </c>
      <c r="I28" s="265">
        <v>0.963</v>
      </c>
      <c r="J28" s="265" t="s">
        <v>540</v>
      </c>
      <c r="K28" s="264">
        <v>15</v>
      </c>
      <c r="L28" s="286" t="s">
        <v>494</v>
      </c>
      <c r="M28" s="284">
        <v>925</v>
      </c>
      <c r="N28" s="265" t="s">
        <v>537</v>
      </c>
      <c r="O28" s="265">
        <v>0</v>
      </c>
      <c r="P28" s="265">
        <v>0</v>
      </c>
      <c r="Q28" s="264" t="s">
        <v>92</v>
      </c>
      <c r="R28" s="264"/>
      <c r="S28" s="264"/>
      <c r="T28" s="264"/>
      <c r="U28" s="264"/>
      <c r="V28" s="264"/>
      <c r="W28" s="264"/>
      <c r="X28" s="271">
        <f>AA28*I28/2000</f>
        <v>0.0011522294999999998</v>
      </c>
      <c r="Y28" s="265">
        <v>0</v>
      </c>
      <c r="Z28" s="265">
        <v>5</v>
      </c>
      <c r="AA28" s="265">
        <v>2.393</v>
      </c>
      <c r="AB28" s="265" t="s">
        <v>538</v>
      </c>
      <c r="AC28" s="277" t="s">
        <v>91</v>
      </c>
    </row>
    <row r="29" spans="1:29" ht="12.75">
      <c r="A29" s="276" t="s">
        <v>88</v>
      </c>
      <c r="B29" s="265">
        <v>3942</v>
      </c>
      <c r="C29" s="264" t="s">
        <v>529</v>
      </c>
      <c r="D29" s="265">
        <v>30600106</v>
      </c>
      <c r="E29" s="264" t="s">
        <v>509</v>
      </c>
      <c r="F29" s="265" t="s">
        <v>114</v>
      </c>
      <c r="G29" s="265">
        <v>271</v>
      </c>
      <c r="H29" s="264" t="s">
        <v>503</v>
      </c>
      <c r="I29" s="265">
        <v>0.09</v>
      </c>
      <c r="J29" s="265" t="s">
        <v>540</v>
      </c>
      <c r="K29" s="264">
        <v>11.8</v>
      </c>
      <c r="L29" s="286" t="s">
        <v>494</v>
      </c>
      <c r="M29" s="284">
        <v>925</v>
      </c>
      <c r="N29" s="265" t="s">
        <v>537</v>
      </c>
      <c r="O29" s="265">
        <v>0</v>
      </c>
      <c r="P29" s="265">
        <v>0</v>
      </c>
      <c r="Q29" s="264" t="s">
        <v>92</v>
      </c>
      <c r="R29" s="264"/>
      <c r="S29" s="264"/>
      <c r="T29" s="264"/>
      <c r="U29" s="264"/>
      <c r="V29" s="264"/>
      <c r="W29" s="264"/>
      <c r="X29" s="271">
        <f>AA29*I29/2000</f>
        <v>0.00010768499999999998</v>
      </c>
      <c r="Y29" s="265">
        <v>0</v>
      </c>
      <c r="Z29" s="265">
        <v>5</v>
      </c>
      <c r="AA29" s="265">
        <v>2.393</v>
      </c>
      <c r="AB29" s="265" t="s">
        <v>538</v>
      </c>
      <c r="AC29" s="277" t="s">
        <v>91</v>
      </c>
    </row>
    <row r="30" spans="1:29" ht="12.75">
      <c r="A30" s="276" t="s">
        <v>88</v>
      </c>
      <c r="B30" s="265">
        <v>4337</v>
      </c>
      <c r="C30" s="264" t="s">
        <v>530</v>
      </c>
      <c r="D30" s="265">
        <v>30600202</v>
      </c>
      <c r="E30" s="264" t="s">
        <v>509</v>
      </c>
      <c r="F30" s="265" t="s">
        <v>114</v>
      </c>
      <c r="G30" s="265">
        <v>261</v>
      </c>
      <c r="H30" s="264" t="s">
        <v>503</v>
      </c>
      <c r="I30" s="265">
        <v>387.687</v>
      </c>
      <c r="J30" s="265" t="s">
        <v>540</v>
      </c>
      <c r="K30" s="264">
        <v>50.1</v>
      </c>
      <c r="L30" s="286" t="s">
        <v>494</v>
      </c>
      <c r="M30" s="284">
        <v>925</v>
      </c>
      <c r="N30" s="265" t="s">
        <v>537</v>
      </c>
      <c r="O30" s="265">
        <v>0</v>
      </c>
      <c r="P30" s="265">
        <v>0</v>
      </c>
      <c r="Q30" s="264" t="s">
        <v>92</v>
      </c>
      <c r="R30" s="264"/>
      <c r="S30" s="264"/>
      <c r="T30" s="264"/>
      <c r="U30" s="264"/>
      <c r="V30" s="264"/>
      <c r="W30" s="264"/>
      <c r="X30" s="271">
        <f>AA30*I30/2000</f>
        <v>0.46386749549999995</v>
      </c>
      <c r="Y30" s="265">
        <v>0</v>
      </c>
      <c r="Z30" s="265">
        <v>5</v>
      </c>
      <c r="AA30" s="265">
        <v>2.393</v>
      </c>
      <c r="AB30" s="265" t="s">
        <v>538</v>
      </c>
      <c r="AC30" s="277" t="s">
        <v>91</v>
      </c>
    </row>
    <row r="31" spans="1:29" ht="12.75">
      <c r="A31" s="276" t="s">
        <v>88</v>
      </c>
      <c r="B31" s="265">
        <v>4345</v>
      </c>
      <c r="C31" s="264" t="s">
        <v>531</v>
      </c>
      <c r="D31" s="265">
        <v>30600904</v>
      </c>
      <c r="E31" s="264" t="s">
        <v>549</v>
      </c>
      <c r="F31" s="265" t="s">
        <v>114</v>
      </c>
      <c r="G31" s="265">
        <v>285</v>
      </c>
      <c r="H31" s="264" t="s">
        <v>547</v>
      </c>
      <c r="I31" s="265">
        <v>8845057</v>
      </c>
      <c r="J31" s="265" t="s">
        <v>554</v>
      </c>
      <c r="K31" s="264" t="s">
        <v>215</v>
      </c>
      <c r="L31" s="286" t="s">
        <v>91</v>
      </c>
      <c r="M31" s="284" t="s">
        <v>215</v>
      </c>
      <c r="N31" s="265">
        <v>0</v>
      </c>
      <c r="O31" s="265">
        <v>0</v>
      </c>
      <c r="P31" s="265">
        <v>0</v>
      </c>
      <c r="Q31" s="264" t="s">
        <v>92</v>
      </c>
      <c r="R31" s="264" t="s">
        <v>208</v>
      </c>
      <c r="S31" s="264">
        <v>23</v>
      </c>
      <c r="T31" s="264"/>
      <c r="U31" s="264"/>
      <c r="V31" s="264"/>
      <c r="W31" s="264" t="s">
        <v>498</v>
      </c>
      <c r="X31" s="266">
        <f>AA31*I31*0.54/1000/2000+Y31</f>
        <v>119.221648991</v>
      </c>
      <c r="Y31" s="265">
        <v>54.98</v>
      </c>
      <c r="Z31" s="265">
        <v>3</v>
      </c>
      <c r="AA31" s="265">
        <v>26.9</v>
      </c>
      <c r="AB31" s="270" t="s">
        <v>304</v>
      </c>
      <c r="AC31" s="277" t="s">
        <v>546</v>
      </c>
    </row>
    <row r="32" spans="1:29" ht="12.75">
      <c r="A32" s="276" t="s">
        <v>88</v>
      </c>
      <c r="B32" s="265">
        <v>4346</v>
      </c>
      <c r="C32" s="264" t="s">
        <v>532</v>
      </c>
      <c r="D32" s="265">
        <v>30600904</v>
      </c>
      <c r="E32" s="264" t="s">
        <v>548</v>
      </c>
      <c r="F32" s="265" t="s">
        <v>114</v>
      </c>
      <c r="G32" s="265">
        <v>286</v>
      </c>
      <c r="H32" s="264" t="s">
        <v>503</v>
      </c>
      <c r="I32" s="265">
        <v>8845057</v>
      </c>
      <c r="J32" s="265" t="s">
        <v>554</v>
      </c>
      <c r="K32" s="264" t="s">
        <v>215</v>
      </c>
      <c r="L32" s="286" t="s">
        <v>91</v>
      </c>
      <c r="M32" s="284" t="s">
        <v>215</v>
      </c>
      <c r="N32" s="265">
        <v>0</v>
      </c>
      <c r="O32" s="265">
        <v>0</v>
      </c>
      <c r="P32" s="265">
        <v>0</v>
      </c>
      <c r="Q32" s="264" t="s">
        <v>92</v>
      </c>
      <c r="R32" s="264" t="s">
        <v>208</v>
      </c>
      <c r="S32" s="264">
        <v>23</v>
      </c>
      <c r="T32" s="264"/>
      <c r="U32" s="264"/>
      <c r="V32" s="264"/>
      <c r="W32" s="264" t="s">
        <v>498</v>
      </c>
      <c r="X32" s="266">
        <f>AA32*I32*0.46/1000/2000</f>
        <v>54.724367659</v>
      </c>
      <c r="Y32" s="265"/>
      <c r="Z32" s="265">
        <v>3</v>
      </c>
      <c r="AA32" s="265">
        <v>26.9</v>
      </c>
      <c r="AB32" s="270" t="s">
        <v>304</v>
      </c>
      <c r="AC32" s="277" t="s">
        <v>546</v>
      </c>
    </row>
    <row r="33" spans="1:29" ht="12.75">
      <c r="A33" s="486" t="s">
        <v>88</v>
      </c>
      <c r="B33" s="487">
        <v>4347</v>
      </c>
      <c r="C33" s="488" t="s">
        <v>533</v>
      </c>
      <c r="D33" s="487">
        <v>30600904</v>
      </c>
      <c r="E33" s="488" t="s">
        <v>534</v>
      </c>
      <c r="F33" s="487" t="s">
        <v>114</v>
      </c>
      <c r="G33" s="487">
        <v>287</v>
      </c>
      <c r="H33" s="488" t="s">
        <v>253</v>
      </c>
      <c r="I33" s="487">
        <v>4982</v>
      </c>
      <c r="J33" s="487" t="s">
        <v>554</v>
      </c>
      <c r="K33" s="488" t="s">
        <v>215</v>
      </c>
      <c r="L33" s="489" t="s">
        <v>91</v>
      </c>
      <c r="M33" s="490">
        <v>2563.3</v>
      </c>
      <c r="N33" s="487" t="s">
        <v>537</v>
      </c>
      <c r="O33" s="487">
        <v>0</v>
      </c>
      <c r="P33" s="487">
        <v>0</v>
      </c>
      <c r="Q33" s="488" t="s">
        <v>92</v>
      </c>
      <c r="R33" s="488"/>
      <c r="S33" s="488"/>
      <c r="T33" s="488"/>
      <c r="U33" s="488"/>
      <c r="V33" s="488"/>
      <c r="W33" s="488"/>
      <c r="X33" s="491">
        <v>0</v>
      </c>
      <c r="Y33" s="487">
        <v>0</v>
      </c>
      <c r="Z33" s="487" t="s">
        <v>91</v>
      </c>
      <c r="AA33" s="487" t="s">
        <v>91</v>
      </c>
      <c r="AB33" s="487">
        <v>0</v>
      </c>
      <c r="AC33" s="492" t="s">
        <v>553</v>
      </c>
    </row>
    <row r="34" spans="1:29" ht="12.75">
      <c r="A34" s="276" t="s">
        <v>88</v>
      </c>
      <c r="B34" s="265">
        <v>13855</v>
      </c>
      <c r="C34" s="264" t="s">
        <v>535</v>
      </c>
      <c r="D34" s="265">
        <v>30609903</v>
      </c>
      <c r="E34" s="264" t="s">
        <v>509</v>
      </c>
      <c r="F34" s="265" t="s">
        <v>114</v>
      </c>
      <c r="G34" s="265">
        <v>3736</v>
      </c>
      <c r="H34" s="264" t="s">
        <v>503</v>
      </c>
      <c r="I34" s="265">
        <v>0.146</v>
      </c>
      <c r="J34" s="265" t="s">
        <v>540</v>
      </c>
      <c r="K34" s="264">
        <v>3.9</v>
      </c>
      <c r="L34" s="265" t="s">
        <v>494</v>
      </c>
      <c r="M34" s="265">
        <v>925</v>
      </c>
      <c r="N34" s="265" t="s">
        <v>537</v>
      </c>
      <c r="O34" s="265">
        <v>0</v>
      </c>
      <c r="P34" s="265">
        <v>0</v>
      </c>
      <c r="Q34" s="264" t="s">
        <v>92</v>
      </c>
      <c r="R34" s="264"/>
      <c r="S34" s="264"/>
      <c r="T34" s="264"/>
      <c r="U34" s="264"/>
      <c r="V34" s="264"/>
      <c r="W34" s="264"/>
      <c r="X34" s="271">
        <f>AA34*I34/2000</f>
        <v>0.00017468899999999998</v>
      </c>
      <c r="Y34" s="265">
        <v>0</v>
      </c>
      <c r="Z34" s="265">
        <v>5</v>
      </c>
      <c r="AA34" s="265">
        <v>2.393</v>
      </c>
      <c r="AB34" s="265" t="s">
        <v>538</v>
      </c>
      <c r="AC34" s="277" t="s">
        <v>91</v>
      </c>
    </row>
    <row r="35" spans="1:29" ht="12.75">
      <c r="A35" s="276">
        <v>2</v>
      </c>
      <c r="B35" s="265">
        <v>18417</v>
      </c>
      <c r="C35" s="264" t="s">
        <v>851</v>
      </c>
      <c r="D35" s="265">
        <v>30600106</v>
      </c>
      <c r="E35" s="264" t="s">
        <v>502</v>
      </c>
      <c r="F35" s="265" t="s">
        <v>114</v>
      </c>
      <c r="G35" s="265">
        <v>259</v>
      </c>
      <c r="H35" s="264" t="s">
        <v>503</v>
      </c>
      <c r="I35" s="265">
        <v>268.876</v>
      </c>
      <c r="J35" s="265" t="s">
        <v>540</v>
      </c>
      <c r="K35" s="264"/>
      <c r="L35" s="265"/>
      <c r="M35" s="265">
        <v>925</v>
      </c>
      <c r="N35" s="265" t="s">
        <v>667</v>
      </c>
      <c r="O35" s="265">
        <v>0</v>
      </c>
      <c r="P35" s="265">
        <v>0</v>
      </c>
      <c r="Q35" s="264" t="s">
        <v>92</v>
      </c>
      <c r="R35" s="264"/>
      <c r="S35" s="264"/>
      <c r="T35" s="264"/>
      <c r="U35" s="264"/>
      <c r="V35" s="264"/>
      <c r="W35" s="264"/>
      <c r="X35" s="271">
        <f>AA35*I35/2000</f>
        <v>0.2897138899999999</v>
      </c>
      <c r="Y35" s="265"/>
      <c r="Z35" s="265"/>
      <c r="AA35" s="265">
        <v>2.155</v>
      </c>
      <c r="AB35" s="265" t="s">
        <v>538</v>
      </c>
      <c r="AC35" s="277"/>
    </row>
    <row r="36" spans="1:29" ht="13.5" thickBot="1">
      <c r="A36" s="278">
        <v>2</v>
      </c>
      <c r="B36" s="279">
        <v>1487</v>
      </c>
      <c r="C36" s="494" t="s">
        <v>852</v>
      </c>
      <c r="D36" s="279">
        <v>30600301</v>
      </c>
      <c r="E36" s="280" t="s">
        <v>853</v>
      </c>
      <c r="F36" s="279" t="s">
        <v>114</v>
      </c>
      <c r="G36" s="279">
        <v>259</v>
      </c>
      <c r="H36" s="280" t="s">
        <v>854</v>
      </c>
      <c r="I36" s="279">
        <v>2.4</v>
      </c>
      <c r="J36" s="279" t="s">
        <v>855</v>
      </c>
      <c r="K36" s="280">
        <v>78.8</v>
      </c>
      <c r="L36" s="279" t="s">
        <v>494</v>
      </c>
      <c r="M36" s="279">
        <v>333</v>
      </c>
      <c r="N36" s="279" t="s">
        <v>856</v>
      </c>
      <c r="O36" s="279">
        <v>0</v>
      </c>
      <c r="P36" s="279">
        <v>0</v>
      </c>
      <c r="Q36" s="280" t="s">
        <v>92</v>
      </c>
      <c r="R36" s="280"/>
      <c r="S36" s="280"/>
      <c r="T36" s="280"/>
      <c r="U36" s="280"/>
      <c r="V36" s="280"/>
      <c r="W36" s="280"/>
      <c r="X36" s="281">
        <f>AA36*I36/2000</f>
        <v>0.0028715999999999993</v>
      </c>
      <c r="Y36" s="279"/>
      <c r="Z36" s="279"/>
      <c r="AA36" s="279">
        <v>2.393</v>
      </c>
      <c r="AB36" s="279" t="s">
        <v>538</v>
      </c>
      <c r="AC36" s="282"/>
    </row>
    <row r="37" spans="22:24" ht="13.5" thickBot="1">
      <c r="V37" s="436" t="s">
        <v>118</v>
      </c>
      <c r="W37" s="436"/>
      <c r="X37" s="493">
        <f>SUM(X9:X34)</f>
        <v>861.9555009269999</v>
      </c>
    </row>
    <row r="38" spans="22:24" ht="13.5" thickTop="1">
      <c r="V38" s="92"/>
      <c r="W38" s="92"/>
      <c r="X38" s="495"/>
    </row>
    <row r="39" ht="12.75">
      <c r="D39" t="s">
        <v>860</v>
      </c>
    </row>
    <row r="40" ht="12.75">
      <c r="C40" t="s">
        <v>543</v>
      </c>
    </row>
    <row r="42" ht="12.75">
      <c r="C42" t="s">
        <v>862</v>
      </c>
    </row>
    <row r="43" ht="12.75">
      <c r="C43" t="s">
        <v>863</v>
      </c>
    </row>
    <row r="44" ht="12.75">
      <c r="C44" t="s">
        <v>864</v>
      </c>
    </row>
    <row r="46" ht="12.75">
      <c r="C46" s="45" t="s">
        <v>550</v>
      </c>
    </row>
    <row r="47" ht="12.75">
      <c r="C47" t="s">
        <v>551</v>
      </c>
    </row>
    <row r="48" ht="12.75">
      <c r="C48" t="s">
        <v>552</v>
      </c>
    </row>
    <row r="49" ht="12.75">
      <c r="C49" t="s">
        <v>555</v>
      </c>
    </row>
    <row r="51" ht="12.75">
      <c r="C51" t="s">
        <v>1004</v>
      </c>
    </row>
    <row r="52" ht="12.75">
      <c r="C52" t="s">
        <v>865</v>
      </c>
    </row>
    <row r="53" ht="12.75">
      <c r="C53" t="s">
        <v>857</v>
      </c>
    </row>
    <row r="54" ht="12.75">
      <c r="C54" t="s">
        <v>859</v>
      </c>
    </row>
    <row r="56" ht="12.75">
      <c r="C56" t="s">
        <v>866</v>
      </c>
    </row>
  </sheetData>
  <mergeCells count="24">
    <mergeCell ref="AC6:AC8"/>
    <mergeCell ref="T6:U6"/>
    <mergeCell ref="V6:V8"/>
    <mergeCell ref="Y6:Y8"/>
    <mergeCell ref="U7:U8"/>
    <mergeCell ref="T7:T8"/>
    <mergeCell ref="Z6:Z8"/>
    <mergeCell ref="AA6:AA8"/>
    <mergeCell ref="AB6:AB8"/>
    <mergeCell ref="W6:X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57" right="0.57" top="1.38" bottom="1" header="0.29" footer="0.5"/>
  <pageSetup horizontalDpi="600" verticalDpi="600" orientation="landscape" pageOrder="overThenDown" r:id="rId1"/>
  <headerFooter alignWithMargins="0">
    <oddHeader>&amp;L
Phillips 66 Company
Site Name:  Phillips Refinery
Site ID:  10123&amp;C&amp;"Arial,Bold"Regional Haze&amp;"Arial,Regular"
1998 Statewide SOx Sources</oddHeader>
    <oddFooter>&amp;R&amp;D
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N29"/>
  <sheetViews>
    <sheetView workbookViewId="0" topLeftCell="A1">
      <selection activeCell="A1" sqref="A1"/>
    </sheetView>
  </sheetViews>
  <sheetFormatPr defaultColWidth="9.140625" defaultRowHeight="12.75"/>
  <cols>
    <col min="3" max="3" width="12.7109375" style="0" customWidth="1"/>
    <col min="4" max="4" width="13.8515625" style="0" customWidth="1"/>
    <col min="5" max="5" width="21.00390625" style="0" customWidth="1"/>
    <col min="7" max="7" width="11.140625" style="0" customWidth="1"/>
    <col min="8" max="8" width="12.4218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3" width="2.7109375" style="0" customWidth="1"/>
    <col min="24" max="25" width="11.7109375" style="0" customWidth="1"/>
    <col min="27" max="27" width="11.8515625" style="0" customWidth="1"/>
    <col min="28" max="28" width="10.421875" style="0" customWidth="1"/>
    <col min="29" max="29" width="29.140625" style="0" customWidth="1"/>
  </cols>
  <sheetData>
    <row r="1" spans="1:5" ht="15.75">
      <c r="A1" s="12" t="s">
        <v>42</v>
      </c>
      <c r="B1" s="12"/>
      <c r="C1" s="47" t="s">
        <v>556</v>
      </c>
      <c r="E1" s="2" t="s">
        <v>84</v>
      </c>
    </row>
    <row r="2" spans="1:5" ht="15">
      <c r="A2" s="12"/>
      <c r="B2" s="12"/>
      <c r="E2" s="3" t="s">
        <v>850</v>
      </c>
    </row>
    <row r="3" spans="1:3" ht="12.75">
      <c r="A3" s="12" t="s">
        <v>53</v>
      </c>
      <c r="B3" s="12" t="s">
        <v>54</v>
      </c>
      <c r="C3" s="47" t="s">
        <v>484</v>
      </c>
    </row>
    <row r="4" spans="1:2" ht="12.75">
      <c r="A4" s="46">
        <v>10096</v>
      </c>
      <c r="B4" s="12"/>
    </row>
    <row r="5" ht="13.5" thickBot="1"/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608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31" t="s">
        <v>305</v>
      </c>
      <c r="X6" s="632"/>
      <c r="Y6" s="541" t="s">
        <v>74</v>
      </c>
      <c r="Z6" s="541" t="s">
        <v>76</v>
      </c>
      <c r="AA6" s="541" t="s">
        <v>77</v>
      </c>
      <c r="AB6" s="541" t="s">
        <v>78</v>
      </c>
      <c r="AC6" s="603" t="s">
        <v>79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9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33"/>
      <c r="X7" s="634"/>
      <c r="Y7" s="557"/>
      <c r="Z7" s="557"/>
      <c r="AA7" s="557"/>
      <c r="AB7" s="601"/>
      <c r="AC7" s="604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184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33"/>
      <c r="X8" s="634"/>
      <c r="Y8" s="563"/>
      <c r="Z8" s="563"/>
      <c r="AA8" s="563"/>
      <c r="AB8" s="610"/>
      <c r="AC8" s="617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30" ht="12.75">
      <c r="A9" s="291" t="s">
        <v>88</v>
      </c>
      <c r="B9" s="292">
        <v>11096</v>
      </c>
      <c r="C9" s="293" t="s">
        <v>557</v>
      </c>
      <c r="D9" s="292">
        <v>10200501</v>
      </c>
      <c r="E9" s="293" t="s">
        <v>558</v>
      </c>
      <c r="F9" s="292" t="s">
        <v>114</v>
      </c>
      <c r="G9" s="292">
        <v>3236</v>
      </c>
      <c r="H9" s="293" t="s">
        <v>562</v>
      </c>
      <c r="I9" s="292">
        <v>435091</v>
      </c>
      <c r="J9" s="292" t="s">
        <v>436</v>
      </c>
      <c r="K9" s="293">
        <v>65</v>
      </c>
      <c r="L9" s="292" t="s">
        <v>563</v>
      </c>
      <c r="M9" s="292">
        <v>5303</v>
      </c>
      <c r="N9" s="292" t="s">
        <v>495</v>
      </c>
      <c r="O9" s="292">
        <v>1.09</v>
      </c>
      <c r="P9" s="292">
        <v>52.5</v>
      </c>
      <c r="Q9" s="293" t="s">
        <v>92</v>
      </c>
      <c r="R9" s="292" t="s">
        <v>566</v>
      </c>
      <c r="S9" s="292">
        <v>71</v>
      </c>
      <c r="T9" s="292" t="s">
        <v>479</v>
      </c>
      <c r="U9" s="292">
        <v>16</v>
      </c>
      <c r="V9" s="292">
        <v>86</v>
      </c>
      <c r="W9" s="292" t="s">
        <v>440</v>
      </c>
      <c r="X9" s="294">
        <f>I9*M9/1000000*AA9</f>
        <v>945.98790493</v>
      </c>
      <c r="Y9" s="228">
        <v>0</v>
      </c>
      <c r="Z9" s="292">
        <v>10</v>
      </c>
      <c r="AA9" s="292">
        <v>0.41</v>
      </c>
      <c r="AB9" s="292" t="s">
        <v>567</v>
      </c>
      <c r="AC9" s="295" t="s">
        <v>222</v>
      </c>
      <c r="AD9" s="287"/>
    </row>
    <row r="10" spans="1:30" ht="12.75">
      <c r="A10" s="296" t="s">
        <v>88</v>
      </c>
      <c r="B10" s="289">
        <v>11097</v>
      </c>
      <c r="C10" s="288" t="s">
        <v>559</v>
      </c>
      <c r="D10" s="289">
        <v>10200501</v>
      </c>
      <c r="E10" s="288" t="s">
        <v>558</v>
      </c>
      <c r="F10" s="289" t="s">
        <v>114</v>
      </c>
      <c r="G10" s="289">
        <v>3236</v>
      </c>
      <c r="H10" s="288" t="s">
        <v>232</v>
      </c>
      <c r="I10" s="289">
        <v>360.062</v>
      </c>
      <c r="J10" s="289" t="s">
        <v>573</v>
      </c>
      <c r="K10" s="288">
        <v>1400</v>
      </c>
      <c r="L10" s="289" t="s">
        <v>565</v>
      </c>
      <c r="M10" s="289">
        <v>19460</v>
      </c>
      <c r="N10" s="289" t="s">
        <v>495</v>
      </c>
      <c r="O10" s="289">
        <v>0.85</v>
      </c>
      <c r="P10" s="289">
        <v>0</v>
      </c>
      <c r="Q10" s="288" t="s">
        <v>92</v>
      </c>
      <c r="R10" s="289" t="s">
        <v>566</v>
      </c>
      <c r="S10" s="289">
        <v>71</v>
      </c>
      <c r="T10" s="289" t="s">
        <v>479</v>
      </c>
      <c r="U10" s="289">
        <v>16</v>
      </c>
      <c r="V10" s="289">
        <v>86</v>
      </c>
      <c r="W10" s="289" t="s">
        <v>541</v>
      </c>
      <c r="X10" s="290">
        <f>AA10*I10/2000</f>
        <v>24.02513695</v>
      </c>
      <c r="Y10" s="72">
        <v>0</v>
      </c>
      <c r="Z10" s="289">
        <v>3</v>
      </c>
      <c r="AA10" s="289">
        <v>133.45</v>
      </c>
      <c r="AB10" s="289" t="s">
        <v>568</v>
      </c>
      <c r="AC10" s="297" t="s">
        <v>569</v>
      </c>
      <c r="AD10" s="287"/>
    </row>
    <row r="11" spans="1:30" ht="13.5" thickBot="1">
      <c r="A11" s="298" t="s">
        <v>88</v>
      </c>
      <c r="B11" s="299">
        <v>11098</v>
      </c>
      <c r="C11" s="300" t="s">
        <v>560</v>
      </c>
      <c r="D11" s="299">
        <v>10200501</v>
      </c>
      <c r="E11" s="300" t="s">
        <v>561</v>
      </c>
      <c r="F11" s="299" t="s">
        <v>114</v>
      </c>
      <c r="G11" s="299">
        <v>3237</v>
      </c>
      <c r="H11" s="300" t="s">
        <v>232</v>
      </c>
      <c r="I11" s="299">
        <v>120</v>
      </c>
      <c r="J11" s="299" t="s">
        <v>448</v>
      </c>
      <c r="K11" s="300">
        <v>13.6</v>
      </c>
      <c r="L11" s="299" t="s">
        <v>565</v>
      </c>
      <c r="M11" s="299">
        <v>19460</v>
      </c>
      <c r="N11" s="299" t="s">
        <v>495</v>
      </c>
      <c r="O11" s="299">
        <v>0.85</v>
      </c>
      <c r="P11" s="299">
        <v>0</v>
      </c>
      <c r="Q11" s="300" t="s">
        <v>92</v>
      </c>
      <c r="R11" s="299"/>
      <c r="S11" s="299"/>
      <c r="T11" s="299"/>
      <c r="U11" s="299"/>
      <c r="V11" s="299"/>
      <c r="W11" s="299"/>
      <c r="X11" s="301">
        <f>((I11/42)*5900000)/1000000*0.29/2000</f>
        <v>0.0024442857142857144</v>
      </c>
      <c r="Y11" s="207">
        <v>0</v>
      </c>
      <c r="Z11" s="299">
        <v>3</v>
      </c>
      <c r="AA11" s="299">
        <v>0.29</v>
      </c>
      <c r="AB11" s="299" t="s">
        <v>567</v>
      </c>
      <c r="AC11" s="302" t="s">
        <v>570</v>
      </c>
      <c r="AD11" s="287"/>
    </row>
    <row r="12" spans="9:24" ht="13.5" thickBot="1">
      <c r="I12" t="s">
        <v>867</v>
      </c>
      <c r="V12" s="376" t="s">
        <v>412</v>
      </c>
      <c r="W12" s="376"/>
      <c r="X12" s="380">
        <f>SUM(X9:X11)</f>
        <v>970.0154861657144</v>
      </c>
    </row>
    <row r="13" ht="13.5" thickTop="1"/>
    <row r="14" ht="12.75">
      <c r="C14" s="12" t="s">
        <v>85</v>
      </c>
    </row>
    <row r="15" ht="12.75">
      <c r="C15">
        <v>11096</v>
      </c>
    </row>
    <row r="16" ht="12.75">
      <c r="D16" t="s">
        <v>868</v>
      </c>
    </row>
    <row r="18" spans="3:4" ht="12.75">
      <c r="C18" s="496" t="s">
        <v>575</v>
      </c>
      <c r="D18" t="s">
        <v>574</v>
      </c>
    </row>
    <row r="19" ht="12.75">
      <c r="D19" t="s">
        <v>571</v>
      </c>
    </row>
    <row r="20" ht="12.75">
      <c r="D20" t="s">
        <v>572</v>
      </c>
    </row>
    <row r="22" spans="3:4" ht="12.75">
      <c r="C22" s="12">
        <v>11098</v>
      </c>
      <c r="D22" t="s">
        <v>577</v>
      </c>
    </row>
    <row r="23" ht="12.75">
      <c r="D23" t="s">
        <v>869</v>
      </c>
    </row>
    <row r="24" ht="12.75">
      <c r="D24" t="s">
        <v>576</v>
      </c>
    </row>
    <row r="25" ht="12.75">
      <c r="D25" t="s">
        <v>870</v>
      </c>
    </row>
    <row r="26" ht="12.75">
      <c r="D26" t="s">
        <v>578</v>
      </c>
    </row>
    <row r="27" ht="12.75">
      <c r="D27" t="s">
        <v>871</v>
      </c>
    </row>
    <row r="29" ht="12.75">
      <c r="C29" t="s">
        <v>872</v>
      </c>
    </row>
  </sheetData>
  <mergeCells count="24">
    <mergeCell ref="AC6:AC8"/>
    <mergeCell ref="T6:U6"/>
    <mergeCell ref="V6:V8"/>
    <mergeCell ref="Y6:Y8"/>
    <mergeCell ref="U7:U8"/>
    <mergeCell ref="T7:T8"/>
    <mergeCell ref="Z6:Z8"/>
    <mergeCell ref="AA6:AA8"/>
    <mergeCell ref="AB6:AB8"/>
    <mergeCell ref="W6:X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32" right="0.22" top="1.74" bottom="1" header="0.52" footer="0.5"/>
  <pageSetup horizontalDpi="600" verticalDpi="600" orientation="landscape" r:id="rId1"/>
  <headerFooter alignWithMargins="0">
    <oddHeader>&amp;L
Sunnyside Cogeneration Association
Site Name:  Sunnyside Cogeneration Facility
Site ID:  10096&amp;CRegional Haze
1998 Statewide SOx Sources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3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8.00390625" style="0" customWidth="1"/>
    <col min="5" max="5" width="25.7109375" style="0" customWidth="1"/>
    <col min="6" max="6" width="8.28125" style="0" customWidth="1"/>
    <col min="7" max="7" width="10.421875" style="0" customWidth="1"/>
    <col min="8" max="8" width="15.28125" style="0" customWidth="1"/>
    <col min="9" max="9" width="8.28125" style="0" customWidth="1"/>
    <col min="11" max="11" width="7.8515625" style="0" customWidth="1"/>
    <col min="12" max="12" width="5.28125" style="0" customWidth="1"/>
    <col min="18" max="18" width="38.421875" style="0" customWidth="1"/>
    <col min="20" max="20" width="11.421875" style="0" customWidth="1"/>
    <col min="22" max="22" width="10.57421875" style="0" customWidth="1"/>
    <col min="23" max="25" width="11.7109375" style="0" customWidth="1"/>
    <col min="27" max="27" width="10.7109375" style="0" customWidth="1"/>
    <col min="28" max="28" width="23.8515625" style="0" customWidth="1"/>
    <col min="29" max="29" width="29.140625" style="0" customWidth="1"/>
  </cols>
  <sheetData>
    <row r="1" spans="1:5" ht="15.75">
      <c r="A1" s="15" t="s">
        <v>130</v>
      </c>
      <c r="B1" s="12"/>
      <c r="E1" s="2" t="s">
        <v>84</v>
      </c>
    </row>
    <row r="2" spans="1:5" ht="15">
      <c r="A2" s="12"/>
      <c r="B2" s="12"/>
      <c r="E2" s="3" t="s">
        <v>710</v>
      </c>
    </row>
    <row r="3" spans="1:3" ht="25.5">
      <c r="A3" s="12" t="s">
        <v>53</v>
      </c>
      <c r="B3" s="12" t="s">
        <v>54</v>
      </c>
      <c r="C3" s="14" t="s">
        <v>131</v>
      </c>
    </row>
    <row r="4" spans="1:2" ht="12.75">
      <c r="A4" s="13">
        <v>10790</v>
      </c>
      <c r="B4" s="12"/>
    </row>
    <row r="5" spans="1:65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5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73"/>
      <c r="K6" s="573"/>
      <c r="L6" s="574"/>
      <c r="M6" s="576" t="s">
        <v>55</v>
      </c>
      <c r="N6" s="573"/>
      <c r="O6" s="573"/>
      <c r="P6" s="573"/>
      <c r="Q6" s="70"/>
      <c r="R6" s="582" t="s">
        <v>70</v>
      </c>
      <c r="S6" s="583"/>
      <c r="T6" s="582" t="s">
        <v>71</v>
      </c>
      <c r="U6" s="584"/>
      <c r="V6" s="585" t="s">
        <v>80</v>
      </c>
      <c r="W6" s="564" t="s">
        <v>305</v>
      </c>
      <c r="X6" s="564" t="s">
        <v>74</v>
      </c>
      <c r="Y6" s="564" t="s">
        <v>76</v>
      </c>
      <c r="Z6" s="564" t="s">
        <v>77</v>
      </c>
      <c r="AA6" s="564" t="s">
        <v>78</v>
      </c>
      <c r="AB6" s="532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</row>
    <row r="7" spans="1:65" s="1" customFormat="1" ht="24.75" customHeight="1">
      <c r="A7" s="559"/>
      <c r="B7" s="577"/>
      <c r="C7" s="570"/>
      <c r="D7" s="570"/>
      <c r="E7" s="570"/>
      <c r="F7" s="570"/>
      <c r="G7" s="570"/>
      <c r="H7" s="570"/>
      <c r="I7" s="570"/>
      <c r="J7" s="570"/>
      <c r="K7" s="570"/>
      <c r="L7" s="575"/>
      <c r="M7" s="577"/>
      <c r="N7" s="570"/>
      <c r="O7" s="570"/>
      <c r="P7" s="570"/>
      <c r="Q7" s="535" t="s">
        <v>72</v>
      </c>
      <c r="R7" s="535" t="s">
        <v>81</v>
      </c>
      <c r="S7" s="535" t="s">
        <v>73</v>
      </c>
      <c r="T7" s="563" t="s">
        <v>675</v>
      </c>
      <c r="U7" s="588" t="s">
        <v>73</v>
      </c>
      <c r="V7" s="586"/>
      <c r="W7" s="567"/>
      <c r="X7" s="567"/>
      <c r="Y7" s="567"/>
      <c r="Z7" s="567"/>
      <c r="AA7" s="590"/>
      <c r="AB7" s="533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ht="25.5" customHeight="1">
      <c r="A8" s="579"/>
      <c r="B8" s="580"/>
      <c r="C8" s="571"/>
      <c r="D8" s="571"/>
      <c r="E8" s="571"/>
      <c r="F8" s="571"/>
      <c r="G8" s="571"/>
      <c r="H8" s="571"/>
      <c r="I8" s="54" t="s">
        <v>57</v>
      </c>
      <c r="J8" s="54" t="s">
        <v>58</v>
      </c>
      <c r="K8" s="54" t="s">
        <v>56</v>
      </c>
      <c r="L8" s="57" t="s">
        <v>59</v>
      </c>
      <c r="M8" s="55" t="s">
        <v>60</v>
      </c>
      <c r="N8" s="54" t="s">
        <v>59</v>
      </c>
      <c r="O8" s="54" t="s">
        <v>61</v>
      </c>
      <c r="P8" s="54" t="s">
        <v>62</v>
      </c>
      <c r="Q8" s="581"/>
      <c r="R8" s="581"/>
      <c r="S8" s="581"/>
      <c r="T8" s="578"/>
      <c r="U8" s="589"/>
      <c r="V8" s="587"/>
      <c r="W8" s="581"/>
      <c r="X8" s="581"/>
      <c r="Y8" s="581"/>
      <c r="Z8" s="581"/>
      <c r="AA8" s="591"/>
      <c r="AB8" s="589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1:65" ht="12.75">
      <c r="A9" s="77" t="s">
        <v>88</v>
      </c>
      <c r="B9" s="77">
        <v>3291</v>
      </c>
      <c r="C9" s="77" t="s">
        <v>89</v>
      </c>
      <c r="D9" s="77">
        <v>10200201</v>
      </c>
      <c r="E9" s="76" t="s">
        <v>132</v>
      </c>
      <c r="F9" s="78" t="s">
        <v>114</v>
      </c>
      <c r="G9" s="77">
        <v>12</v>
      </c>
      <c r="H9" s="79" t="s">
        <v>137</v>
      </c>
      <c r="I9" s="80">
        <v>14135</v>
      </c>
      <c r="J9" s="83" t="s">
        <v>138</v>
      </c>
      <c r="K9" s="77">
        <v>100</v>
      </c>
      <c r="L9" s="76" t="s">
        <v>133</v>
      </c>
      <c r="M9" s="77">
        <v>24.8</v>
      </c>
      <c r="N9" s="76" t="s">
        <v>702</v>
      </c>
      <c r="O9" s="77">
        <v>0.587</v>
      </c>
      <c r="P9" s="77">
        <v>0.1084</v>
      </c>
      <c r="Q9" s="76" t="s">
        <v>92</v>
      </c>
      <c r="R9" s="76" t="s">
        <v>136</v>
      </c>
      <c r="S9" s="77">
        <v>16</v>
      </c>
      <c r="T9" s="72"/>
      <c r="U9" s="72"/>
      <c r="V9" s="424">
        <v>99</v>
      </c>
      <c r="W9" s="432">
        <f>Z9*I9/2000</f>
        <v>157.60525</v>
      </c>
      <c r="X9" s="77">
        <v>0</v>
      </c>
      <c r="Y9" s="77">
        <v>3</v>
      </c>
      <c r="Z9" s="77">
        <v>22.3</v>
      </c>
      <c r="AA9" s="76" t="s">
        <v>592</v>
      </c>
      <c r="AB9" s="72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</row>
    <row r="10" spans="1:65" s="7" customFormat="1" ht="12.75">
      <c r="A10" s="425">
        <v>2</v>
      </c>
      <c r="B10" s="64">
        <v>3293</v>
      </c>
      <c r="C10" s="425">
        <v>3</v>
      </c>
      <c r="D10" s="64">
        <v>10200601</v>
      </c>
      <c r="E10" s="64" t="s">
        <v>719</v>
      </c>
      <c r="F10" s="425" t="s">
        <v>114</v>
      </c>
      <c r="G10" s="64">
        <v>0</v>
      </c>
      <c r="H10" s="64" t="s">
        <v>206</v>
      </c>
      <c r="I10" s="80">
        <v>114084</v>
      </c>
      <c r="J10" s="426" t="s">
        <v>583</v>
      </c>
      <c r="K10" s="80">
        <v>150</v>
      </c>
      <c r="L10" s="426"/>
      <c r="M10" s="80">
        <v>1090.5</v>
      </c>
      <c r="N10" s="79" t="s">
        <v>690</v>
      </c>
      <c r="O10" s="427"/>
      <c r="P10" s="427"/>
      <c r="Q10" s="428" t="s">
        <v>92</v>
      </c>
      <c r="R10" s="415"/>
      <c r="S10" s="415"/>
      <c r="T10" s="429"/>
      <c r="U10" s="415"/>
      <c r="V10" s="415"/>
      <c r="W10" s="435">
        <f>Z10*I10/M10/2000</f>
        <v>0.031384869325997246</v>
      </c>
      <c r="X10" s="430">
        <v>0</v>
      </c>
      <c r="Y10" s="430">
        <v>3</v>
      </c>
      <c r="Z10" s="430">
        <v>0.6</v>
      </c>
      <c r="AA10" s="428" t="s">
        <v>492</v>
      </c>
      <c r="AB10" s="415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</row>
    <row r="11" spans="1:65" s="7" customFormat="1" ht="12.75">
      <c r="A11" s="425">
        <v>2</v>
      </c>
      <c r="B11" s="64">
        <v>16631</v>
      </c>
      <c r="C11" s="425">
        <v>7</v>
      </c>
      <c r="D11" s="64">
        <v>10300603</v>
      </c>
      <c r="E11" s="64" t="s">
        <v>720</v>
      </c>
      <c r="F11" s="425" t="s">
        <v>114</v>
      </c>
      <c r="G11" s="64">
        <v>0</v>
      </c>
      <c r="H11" s="64" t="s">
        <v>206</v>
      </c>
      <c r="I11" s="80">
        <v>52000</v>
      </c>
      <c r="J11" s="426" t="s">
        <v>583</v>
      </c>
      <c r="K11" s="80"/>
      <c r="L11" s="426"/>
      <c r="M11" s="80">
        <v>1090.5</v>
      </c>
      <c r="N11" s="79" t="s">
        <v>690</v>
      </c>
      <c r="O11" s="427"/>
      <c r="P11" s="427"/>
      <c r="Q11" s="428" t="s">
        <v>92</v>
      </c>
      <c r="R11" s="415"/>
      <c r="S11" s="415"/>
      <c r="T11" s="429"/>
      <c r="U11" s="415"/>
      <c r="V11" s="415"/>
      <c r="W11" s="435">
        <f>Z11*I11/M11/2000</f>
        <v>0.014305364511691884</v>
      </c>
      <c r="X11" s="430">
        <v>0</v>
      </c>
      <c r="Y11" s="430">
        <v>3</v>
      </c>
      <c r="Z11" s="430">
        <v>0.6</v>
      </c>
      <c r="AA11" s="428" t="s">
        <v>492</v>
      </c>
      <c r="AB11" s="415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</row>
    <row r="12" spans="1:28" ht="12.75">
      <c r="A12" s="425">
        <v>2</v>
      </c>
      <c r="B12" s="72">
        <v>3723</v>
      </c>
      <c r="C12" s="425">
        <v>4</v>
      </c>
      <c r="D12" s="72">
        <v>10200601</v>
      </c>
      <c r="E12" s="72" t="s">
        <v>721</v>
      </c>
      <c r="F12" s="425" t="s">
        <v>114</v>
      </c>
      <c r="G12" s="72">
        <v>0</v>
      </c>
      <c r="H12" s="72" t="s">
        <v>206</v>
      </c>
      <c r="I12" s="425">
        <v>131691</v>
      </c>
      <c r="J12" s="72" t="s">
        <v>583</v>
      </c>
      <c r="K12" s="425">
        <v>200</v>
      </c>
      <c r="L12" s="72"/>
      <c r="M12" s="425">
        <v>1090.5</v>
      </c>
      <c r="N12" s="431" t="s">
        <v>690</v>
      </c>
      <c r="O12" s="72"/>
      <c r="P12" s="72"/>
      <c r="Q12" s="72" t="s">
        <v>92</v>
      </c>
      <c r="R12" s="72"/>
      <c r="S12" s="72"/>
      <c r="T12" s="72"/>
      <c r="U12" s="72"/>
      <c r="V12" s="72"/>
      <c r="W12" s="433">
        <f>Z12*I12/M12/2000</f>
        <v>0.03622861072902338</v>
      </c>
      <c r="X12" s="72">
        <v>0</v>
      </c>
      <c r="Y12" s="425">
        <v>3</v>
      </c>
      <c r="Z12" s="425">
        <v>0.6</v>
      </c>
      <c r="AA12" s="431" t="s">
        <v>492</v>
      </c>
      <c r="AB12" s="72"/>
    </row>
    <row r="13" spans="1:65" s="7" customFormat="1" ht="12.75">
      <c r="A13" s="77" t="s">
        <v>88</v>
      </c>
      <c r="B13" s="77">
        <v>3724</v>
      </c>
      <c r="C13" s="77" t="s">
        <v>103</v>
      </c>
      <c r="D13" s="77">
        <v>10200501</v>
      </c>
      <c r="E13" s="76" t="s">
        <v>134</v>
      </c>
      <c r="F13" s="82" t="s">
        <v>114</v>
      </c>
      <c r="G13" s="77">
        <v>0</v>
      </c>
      <c r="H13" s="83" t="s">
        <v>122</v>
      </c>
      <c r="I13" s="84">
        <v>3530</v>
      </c>
      <c r="J13" s="83" t="s">
        <v>722</v>
      </c>
      <c r="K13" s="77">
        <v>200</v>
      </c>
      <c r="L13" s="76" t="s">
        <v>133</v>
      </c>
      <c r="M13" s="77">
        <v>142.5</v>
      </c>
      <c r="N13" s="76" t="s">
        <v>123</v>
      </c>
      <c r="O13" s="77">
        <v>0.319</v>
      </c>
      <c r="P13" s="77"/>
      <c r="Q13" s="76" t="s">
        <v>92</v>
      </c>
      <c r="R13" s="76"/>
      <c r="S13" s="76"/>
      <c r="T13" s="76"/>
      <c r="U13" s="76"/>
      <c r="V13" s="76"/>
      <c r="W13" s="432">
        <f>Z13*I13/1000/2000</f>
        <v>0.0799545</v>
      </c>
      <c r="X13" s="77">
        <v>0</v>
      </c>
      <c r="Y13" s="77">
        <v>3</v>
      </c>
      <c r="Z13" s="77">
        <v>45.3</v>
      </c>
      <c r="AA13" s="76" t="s">
        <v>654</v>
      </c>
      <c r="AB13" s="64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</row>
    <row r="14" spans="1:65" s="7" customFormat="1" ht="12.75">
      <c r="A14" s="77" t="s">
        <v>135</v>
      </c>
      <c r="B14" s="77">
        <v>8272</v>
      </c>
      <c r="C14" s="77" t="s">
        <v>89</v>
      </c>
      <c r="D14" s="77">
        <v>20200102</v>
      </c>
      <c r="E14" s="76" t="s">
        <v>734</v>
      </c>
      <c r="F14" s="82" t="s">
        <v>114</v>
      </c>
      <c r="G14" s="77">
        <v>0</v>
      </c>
      <c r="H14" s="431" t="s">
        <v>122</v>
      </c>
      <c r="I14" s="425">
        <v>3067</v>
      </c>
      <c r="J14" s="431" t="s">
        <v>127</v>
      </c>
      <c r="K14" s="77">
        <v>0</v>
      </c>
      <c r="L14" s="76" t="s">
        <v>133</v>
      </c>
      <c r="M14" s="77">
        <v>0</v>
      </c>
      <c r="N14" s="76" t="s">
        <v>133</v>
      </c>
      <c r="O14" s="77"/>
      <c r="P14" s="77"/>
      <c r="Q14" s="76" t="s">
        <v>92</v>
      </c>
      <c r="R14" s="76"/>
      <c r="S14" s="76"/>
      <c r="T14" s="76"/>
      <c r="U14" s="76"/>
      <c r="V14" s="76"/>
      <c r="W14" s="432">
        <f>(Z14*I14)/2000</f>
        <v>0.27603</v>
      </c>
      <c r="X14" s="77">
        <v>0</v>
      </c>
      <c r="Y14" s="77">
        <v>3</v>
      </c>
      <c r="Z14" s="77">
        <v>0.18</v>
      </c>
      <c r="AA14" s="76" t="s">
        <v>673</v>
      </c>
      <c r="AB14" s="64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</row>
    <row r="15" spans="1:28" ht="12.75">
      <c r="A15" s="425">
        <v>12</v>
      </c>
      <c r="B15" s="72">
        <v>8273</v>
      </c>
      <c r="C15" s="425">
        <v>2</v>
      </c>
      <c r="D15" s="72">
        <v>20200102</v>
      </c>
      <c r="E15" s="72" t="s">
        <v>234</v>
      </c>
      <c r="F15" s="425" t="s">
        <v>114</v>
      </c>
      <c r="G15" s="72">
        <v>0</v>
      </c>
      <c r="H15" s="72" t="s">
        <v>122</v>
      </c>
      <c r="I15" s="425">
        <v>180</v>
      </c>
      <c r="J15" s="72" t="s">
        <v>127</v>
      </c>
      <c r="K15" s="425">
        <v>0</v>
      </c>
      <c r="L15" s="72" t="s">
        <v>133</v>
      </c>
      <c r="M15" s="425">
        <v>0</v>
      </c>
      <c r="N15" s="431" t="s">
        <v>133</v>
      </c>
      <c r="O15" s="72"/>
      <c r="P15" s="72"/>
      <c r="Q15" s="72" t="s">
        <v>92</v>
      </c>
      <c r="R15" s="72"/>
      <c r="S15" s="72"/>
      <c r="T15" s="72"/>
      <c r="U15" s="72"/>
      <c r="V15" s="72"/>
      <c r="W15" s="433">
        <f>Z15*I15/2000</f>
        <v>0.0081</v>
      </c>
      <c r="X15" s="72">
        <v>0</v>
      </c>
      <c r="Y15" s="425">
        <v>3</v>
      </c>
      <c r="Z15" s="425">
        <v>0.09</v>
      </c>
      <c r="AA15" s="431" t="s">
        <v>673</v>
      </c>
      <c r="AB15" s="72"/>
    </row>
    <row r="16" spans="1:28" ht="12.75">
      <c r="A16" s="425" t="s">
        <v>202</v>
      </c>
      <c r="B16" s="72">
        <v>16659</v>
      </c>
      <c r="C16" s="72">
        <v>9</v>
      </c>
      <c r="D16" s="72">
        <v>20200104</v>
      </c>
      <c r="E16" s="72" t="s">
        <v>735</v>
      </c>
      <c r="F16" s="425" t="s">
        <v>114</v>
      </c>
      <c r="G16" s="72">
        <v>0</v>
      </c>
      <c r="H16" s="72" t="s">
        <v>122</v>
      </c>
      <c r="I16" s="72">
        <v>3000</v>
      </c>
      <c r="J16" s="72" t="s">
        <v>722</v>
      </c>
      <c r="K16" s="72">
        <v>0</v>
      </c>
      <c r="L16" s="72" t="s">
        <v>133</v>
      </c>
      <c r="M16" s="72">
        <v>0.1371</v>
      </c>
      <c r="N16" s="72" t="s">
        <v>702</v>
      </c>
      <c r="O16" s="72">
        <v>0.319</v>
      </c>
      <c r="P16" s="72"/>
      <c r="Q16" s="72" t="s">
        <v>92</v>
      </c>
      <c r="R16" s="72"/>
      <c r="S16" s="72"/>
      <c r="T16" s="72"/>
      <c r="U16" s="72"/>
      <c r="V16" s="72"/>
      <c r="W16" s="433">
        <f>Z16*I16/2000</f>
        <v>0.20775000000000002</v>
      </c>
      <c r="X16" s="72">
        <v>0</v>
      </c>
      <c r="Y16" s="72">
        <v>3</v>
      </c>
      <c r="Z16" s="72">
        <v>0.1385</v>
      </c>
      <c r="AA16" s="72" t="s">
        <v>736</v>
      </c>
      <c r="AB16" s="72"/>
    </row>
    <row r="17" spans="1:65" s="7" customFormat="1" ht="13.5" thickBot="1">
      <c r="A17" s="61"/>
      <c r="B17" s="61"/>
      <c r="C17" s="61"/>
      <c r="D17" s="61"/>
      <c r="E17" s="61"/>
      <c r="F17" s="73"/>
      <c r="G17" s="61"/>
      <c r="H17" s="61"/>
      <c r="I17" s="61"/>
      <c r="J17" s="61"/>
      <c r="K17" s="61"/>
      <c r="L17" s="61"/>
      <c r="M17" s="61"/>
      <c r="N17" s="73"/>
      <c r="O17" s="61"/>
      <c r="P17" s="61"/>
      <c r="Q17" s="61"/>
      <c r="R17" s="61"/>
      <c r="S17" s="61"/>
      <c r="T17" s="61"/>
      <c r="U17" s="61"/>
      <c r="V17" s="423" t="s">
        <v>118</v>
      </c>
      <c r="W17" s="434">
        <f>SUM(W9:W16)</f>
        <v>158.25900334456674</v>
      </c>
      <c r="X17" s="16"/>
      <c r="Y17" s="61"/>
      <c r="Z17" s="61"/>
      <c r="AA17" s="61"/>
      <c r="AB17" s="73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</row>
    <row r="18" spans="4:65" s="7" customFormat="1" ht="13.5" thickTop="1">
      <c r="D18" s="65" t="s">
        <v>85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</row>
    <row r="19" spans="3:65" s="7" customFormat="1" ht="12.75">
      <c r="C19" s="7">
        <v>1996</v>
      </c>
      <c r="D19" s="61" t="s">
        <v>154</v>
      </c>
      <c r="E19" s="61" t="s">
        <v>155</v>
      </c>
      <c r="F19" s="61"/>
      <c r="G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</row>
    <row r="20" spans="3:66" s="7" customFormat="1" ht="12.75">
      <c r="C20" s="61">
        <v>1998</v>
      </c>
      <c r="D20" s="61"/>
      <c r="E20" s="61" t="s">
        <v>723</v>
      </c>
      <c r="F20" s="61"/>
      <c r="G20" s="61"/>
      <c r="H20" s="61" t="s">
        <v>728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</row>
    <row r="21" spans="3:65" s="7" customFormat="1" ht="12.75">
      <c r="C21" s="7">
        <v>1996</v>
      </c>
      <c r="D21" s="61" t="s">
        <v>159</v>
      </c>
      <c r="E21" s="61" t="s">
        <v>724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</row>
    <row r="22" spans="4:65" s="7" customFormat="1" ht="12.75">
      <c r="D22" s="61"/>
      <c r="E22" s="61" t="s">
        <v>725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</row>
    <row r="23" spans="4:65" s="7" customFormat="1" ht="12.75">
      <c r="D23" s="61"/>
      <c r="E23" s="61" t="s">
        <v>726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</row>
    <row r="24" spans="3:65" s="7" customFormat="1" ht="12.75">
      <c r="C24" s="7">
        <v>1998</v>
      </c>
      <c r="D24" s="61" t="s">
        <v>159</v>
      </c>
      <c r="E24" s="61" t="s">
        <v>727</v>
      </c>
      <c r="F24" s="61"/>
      <c r="G24" s="61"/>
      <c r="H24" s="61" t="s">
        <v>729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</row>
    <row r="25" spans="1:65" s="7" customFormat="1" ht="12.75">
      <c r="A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</row>
    <row r="26" spans="1:65" s="7" customFormat="1" ht="12.75">
      <c r="A26" s="61"/>
      <c r="C26" s="61" t="s">
        <v>730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</row>
    <row r="27" spans="1:65" s="7" customFormat="1" ht="12.7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</row>
    <row r="28" spans="1:65" s="7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</row>
    <row r="29" spans="1:65" s="7" customFormat="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</row>
    <row r="30" spans="1:65" s="7" customFormat="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</row>
    <row r="31" spans="1:65" s="7" customFormat="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</row>
    <row r="32" spans="1:65" s="7" customFormat="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</row>
    <row r="33" spans="1:65" s="7" customFormat="1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</row>
    <row r="34" spans="1:3" s="7" customFormat="1" ht="12.75">
      <c r="A34"/>
      <c r="B34"/>
      <c r="C34"/>
    </row>
    <row r="35" spans="1:3" s="7" customFormat="1" ht="12.75">
      <c r="A35"/>
      <c r="B35"/>
      <c r="C35"/>
    </row>
    <row r="36" spans="1:3" s="7" customFormat="1" ht="12.75">
      <c r="A36"/>
      <c r="B36"/>
      <c r="C36"/>
    </row>
    <row r="37" spans="1:3" s="7" customFormat="1" ht="12.75">
      <c r="A37"/>
      <c r="B37"/>
      <c r="C37"/>
    </row>
    <row r="38" spans="1:3" s="7" customFormat="1" ht="12.75">
      <c r="A38"/>
      <c r="B38"/>
      <c r="C38"/>
    </row>
    <row r="39" spans="1:3" s="7" customFormat="1" ht="12.75">
      <c r="A39"/>
      <c r="B39"/>
      <c r="C39"/>
    </row>
  </sheetData>
  <mergeCells count="24">
    <mergeCell ref="U7:U8"/>
    <mergeCell ref="AB6:AB8"/>
    <mergeCell ref="X6:X8"/>
    <mergeCell ref="Y6:Y8"/>
    <mergeCell ref="Z6:Z8"/>
    <mergeCell ref="AA6:AA8"/>
    <mergeCell ref="A6:A8"/>
    <mergeCell ref="B6:B8"/>
    <mergeCell ref="C6:C8"/>
    <mergeCell ref="W6:W8"/>
    <mergeCell ref="Q7:Q8"/>
    <mergeCell ref="R7:R8"/>
    <mergeCell ref="S7:S8"/>
    <mergeCell ref="R6:S6"/>
    <mergeCell ref="T6:U6"/>
    <mergeCell ref="V6:V8"/>
    <mergeCell ref="D6:D8"/>
    <mergeCell ref="E6:E8"/>
    <mergeCell ref="F6:F8"/>
    <mergeCell ref="G6:G8"/>
    <mergeCell ref="H6:H8"/>
    <mergeCell ref="I6:L7"/>
    <mergeCell ref="M6:P7"/>
    <mergeCell ref="T7:T8"/>
  </mergeCells>
  <printOptions/>
  <pageMargins left="0.75" right="0.75" top="1.7" bottom="1" header="0.5" footer="0.5"/>
  <pageSetup horizontalDpi="600" verticalDpi="600" orientation="landscape" r:id="rId1"/>
  <headerFooter alignWithMargins="0">
    <oddHeader>&amp;L
Brigham Young University
Site Name:  Main Campus
Site ID:  10790&amp;C&amp;"Arial,Bold"Regional Haze
&amp;"Arial,Regular"1998 Statewide SOx Sources</oddHeader>
    <oddFooter>&amp;R&amp;D
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N29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7.57421875" style="0" customWidth="1"/>
    <col min="2" max="2" width="6.28125" style="0" customWidth="1"/>
    <col min="3" max="3" width="7.57421875" style="0" customWidth="1"/>
    <col min="4" max="4" width="9.421875" style="0" customWidth="1"/>
    <col min="5" max="5" width="27.140625" style="0" customWidth="1"/>
    <col min="6" max="6" width="37.7109375" style="0" customWidth="1"/>
    <col min="7" max="7" width="10.8515625" style="0" customWidth="1"/>
    <col min="8" max="8" width="11.421875" style="0" customWidth="1"/>
    <col min="9" max="9" width="8.28125" style="0" customWidth="1"/>
    <col min="10" max="10" width="8.8515625" style="0" customWidth="1"/>
    <col min="11" max="11" width="6.8515625" style="0" customWidth="1"/>
    <col min="12" max="12" width="6.421875" style="0" customWidth="1"/>
    <col min="13" max="13" width="8.421875" style="0" customWidth="1"/>
    <col min="14" max="14" width="7.140625" style="0" customWidth="1"/>
    <col min="15" max="15" width="7.7109375" style="0" customWidth="1"/>
    <col min="16" max="16" width="6.421875" style="0" customWidth="1"/>
    <col min="18" max="18" width="16.28125" style="0" customWidth="1"/>
    <col min="20" max="20" width="10.57421875" style="0" customWidth="1"/>
    <col min="22" max="22" width="9.7109375" style="0" customWidth="1"/>
    <col min="23" max="23" width="2.7109375" style="0" customWidth="1"/>
    <col min="24" max="24" width="8.8515625" style="0" customWidth="1"/>
    <col min="25" max="25" width="11.57421875" style="0" customWidth="1"/>
    <col min="26" max="26" width="8.421875" style="0" customWidth="1"/>
    <col min="27" max="27" width="12.421875" style="0" customWidth="1"/>
    <col min="28" max="28" width="10.57421875" style="0" customWidth="1"/>
    <col min="29" max="29" width="29.7109375" style="0" customWidth="1"/>
  </cols>
  <sheetData>
    <row r="1" spans="1:5" ht="15.75">
      <c r="A1" s="12" t="s">
        <v>42</v>
      </c>
      <c r="B1" s="12"/>
      <c r="C1" s="51" t="s">
        <v>644</v>
      </c>
      <c r="E1" s="2" t="s">
        <v>84</v>
      </c>
    </row>
    <row r="2" spans="1:5" ht="15">
      <c r="A2" s="12"/>
      <c r="B2" s="12"/>
      <c r="E2" s="3" t="s">
        <v>850</v>
      </c>
    </row>
    <row r="3" spans="1:3" ht="12.75">
      <c r="A3" s="12" t="s">
        <v>53</v>
      </c>
      <c r="B3" s="12" t="s">
        <v>54</v>
      </c>
      <c r="C3" s="51" t="s">
        <v>483</v>
      </c>
    </row>
    <row r="4" spans="1:2" ht="12.75">
      <c r="A4" s="50">
        <v>10034</v>
      </c>
      <c r="B4" s="12"/>
    </row>
    <row r="5" ht="13.5" thickBot="1"/>
    <row r="6" spans="1:66" ht="16.5" customHeight="1">
      <c r="A6" s="576" t="s">
        <v>83</v>
      </c>
      <c r="B6" s="54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31" t="s">
        <v>305</v>
      </c>
      <c r="X6" s="643"/>
      <c r="Y6" s="561" t="s">
        <v>676</v>
      </c>
      <c r="Z6" s="541" t="s">
        <v>76</v>
      </c>
      <c r="AA6" s="541" t="s">
        <v>77</v>
      </c>
      <c r="AB6" s="541" t="s">
        <v>78</v>
      </c>
      <c r="AC6" s="603" t="s">
        <v>79</v>
      </c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705</v>
      </c>
      <c r="U7" s="557" t="s">
        <v>73</v>
      </c>
      <c r="V7" s="557"/>
      <c r="W7" s="633"/>
      <c r="X7" s="644"/>
      <c r="Y7" s="605"/>
      <c r="Z7" s="557"/>
      <c r="AA7" s="557"/>
      <c r="AB7" s="601"/>
      <c r="AC7" s="604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3"/>
      <c r="B8" s="611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45"/>
      <c r="X8" s="646"/>
      <c r="Y8" s="629"/>
      <c r="Z8" s="563"/>
      <c r="AA8" s="563"/>
      <c r="AB8" s="610"/>
      <c r="AC8" s="617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31" ht="12.75">
      <c r="A9" s="413" t="s">
        <v>202</v>
      </c>
      <c r="B9" s="364">
        <v>5538</v>
      </c>
      <c r="C9" s="365" t="s">
        <v>645</v>
      </c>
      <c r="D9" s="364">
        <v>30600904</v>
      </c>
      <c r="E9" s="365" t="s">
        <v>646</v>
      </c>
      <c r="F9" s="364" t="s">
        <v>115</v>
      </c>
      <c r="G9" s="364">
        <v>3004</v>
      </c>
      <c r="H9" s="365" t="s">
        <v>133</v>
      </c>
      <c r="I9" s="364">
        <v>742.02</v>
      </c>
      <c r="J9" s="364" t="s">
        <v>124</v>
      </c>
      <c r="K9" s="228"/>
      <c r="L9" s="366" t="s">
        <v>91</v>
      </c>
      <c r="M9" s="373"/>
      <c r="N9" s="364">
        <v>0</v>
      </c>
      <c r="O9" s="364">
        <v>0</v>
      </c>
      <c r="P9" s="364">
        <v>0</v>
      </c>
      <c r="Q9" s="365" t="s">
        <v>92</v>
      </c>
      <c r="R9" s="228"/>
      <c r="S9" s="365"/>
      <c r="T9" s="365"/>
      <c r="U9" s="365"/>
      <c r="V9" s="365"/>
      <c r="W9" s="365" t="s">
        <v>440</v>
      </c>
      <c r="X9" s="370">
        <v>39</v>
      </c>
      <c r="Y9" s="236"/>
      <c r="Z9" s="364">
        <v>2</v>
      </c>
      <c r="AA9" s="364" t="s">
        <v>664</v>
      </c>
      <c r="AB9" s="364"/>
      <c r="AC9" s="366" t="s">
        <v>665</v>
      </c>
      <c r="AD9" s="363"/>
      <c r="AE9" s="50"/>
    </row>
    <row r="10" spans="1:31" ht="13.5" thickBot="1">
      <c r="A10" s="414" t="s">
        <v>202</v>
      </c>
      <c r="B10" s="367">
        <v>5539</v>
      </c>
      <c r="C10" s="368" t="s">
        <v>647</v>
      </c>
      <c r="D10" s="367">
        <v>30609904</v>
      </c>
      <c r="E10" s="368" t="s">
        <v>648</v>
      </c>
      <c r="F10" s="367" t="s">
        <v>115</v>
      </c>
      <c r="G10" s="367">
        <v>3005</v>
      </c>
      <c r="H10" s="368" t="s">
        <v>133</v>
      </c>
      <c r="I10" s="367">
        <v>4838.21</v>
      </c>
      <c r="J10" s="367" t="s">
        <v>124</v>
      </c>
      <c r="K10" s="207"/>
      <c r="L10" s="369" t="s">
        <v>91</v>
      </c>
      <c r="M10" s="372"/>
      <c r="N10" s="367">
        <v>0</v>
      </c>
      <c r="O10" s="367">
        <v>0</v>
      </c>
      <c r="P10" s="367">
        <v>0</v>
      </c>
      <c r="Q10" s="368" t="s">
        <v>92</v>
      </c>
      <c r="R10" s="207" t="s">
        <v>666</v>
      </c>
      <c r="S10" s="368">
        <v>45</v>
      </c>
      <c r="T10" s="368"/>
      <c r="U10" s="368"/>
      <c r="V10" s="368">
        <v>94</v>
      </c>
      <c r="W10" s="368"/>
      <c r="X10" s="371">
        <v>1438.7</v>
      </c>
      <c r="Y10" s="372"/>
      <c r="Z10" s="367">
        <v>10</v>
      </c>
      <c r="AA10" s="367" t="s">
        <v>91</v>
      </c>
      <c r="AB10" s="367"/>
      <c r="AC10" s="369" t="s">
        <v>222</v>
      </c>
      <c r="AD10" s="363"/>
      <c r="AE10" s="50"/>
    </row>
    <row r="11" spans="22:24" ht="13.5" thickBot="1">
      <c r="V11" s="436" t="s">
        <v>118</v>
      </c>
      <c r="W11" s="436"/>
      <c r="X11" s="436">
        <f>SUM(X9:X10)</f>
        <v>1477.7</v>
      </c>
    </row>
    <row r="12" ht="13.5" thickTop="1"/>
    <row r="13" ht="12.75">
      <c r="C13" s="12" t="s">
        <v>610</v>
      </c>
    </row>
    <row r="14" ht="12.75">
      <c r="C14">
        <v>5538</v>
      </c>
    </row>
    <row r="15" ht="12.75">
      <c r="D15" t="s">
        <v>660</v>
      </c>
    </row>
    <row r="16" ht="12.75">
      <c r="D16" t="s">
        <v>709</v>
      </c>
    </row>
    <row r="17" ht="12.75">
      <c r="D17" t="s">
        <v>661</v>
      </c>
    </row>
    <row r="18" ht="12.75">
      <c r="D18" t="s">
        <v>34</v>
      </c>
    </row>
    <row r="19" ht="12.75">
      <c r="D19" t="s">
        <v>33</v>
      </c>
    </row>
    <row r="20" ht="12.75">
      <c r="D20" t="s">
        <v>32</v>
      </c>
    </row>
    <row r="21" ht="12.75">
      <c r="D21" t="s">
        <v>35</v>
      </c>
    </row>
    <row r="22" ht="12.75">
      <c r="D22" t="s">
        <v>662</v>
      </c>
    </row>
    <row r="24" spans="4:7" ht="12.75">
      <c r="D24" t="s">
        <v>36</v>
      </c>
      <c r="G24" t="s">
        <v>38</v>
      </c>
    </row>
    <row r="25" spans="4:7" ht="12.75">
      <c r="D25" t="s">
        <v>37</v>
      </c>
      <c r="G25" t="s">
        <v>40</v>
      </c>
    </row>
    <row r="26" spans="5:7" ht="12.75">
      <c r="E26" t="s">
        <v>663</v>
      </c>
      <c r="G26" t="s">
        <v>39</v>
      </c>
    </row>
    <row r="28" ht="12.75">
      <c r="C28" t="s">
        <v>30</v>
      </c>
    </row>
    <row r="29" ht="12.75">
      <c r="D29" t="s">
        <v>31</v>
      </c>
    </row>
  </sheetData>
  <mergeCells count="24">
    <mergeCell ref="Z6:Z8"/>
    <mergeCell ref="AA6:AA8"/>
    <mergeCell ref="AB6:AB8"/>
    <mergeCell ref="AC6:AC8"/>
    <mergeCell ref="Y6:Y8"/>
    <mergeCell ref="T6:U6"/>
    <mergeCell ref="V6:V8"/>
    <mergeCell ref="U7:U8"/>
    <mergeCell ref="T7:T8"/>
    <mergeCell ref="W6:X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76" right="0.78" top="1.6" bottom="1" header="0.5" footer="0.5"/>
  <pageSetup horizontalDpi="600" verticalDpi="600" orientation="landscape" r:id="rId1"/>
  <headerFooter alignWithMargins="0">
    <oddHeader>&amp;L
Tom Brown Inc.
Site Name:  Lisbon Plant-Hook &amp; Ladder
Site ID:  10034
&amp;CRegional Haze
1998 Statewide SOx Sources</oddHeader>
    <oddFooter>&amp;R&amp;D
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N5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9.7109375" style="0" customWidth="1"/>
    <col min="5" max="5" width="25.00390625" style="0" customWidth="1"/>
    <col min="6" max="6" width="8.28125" style="0" customWidth="1"/>
    <col min="7" max="7" width="10.7109375" style="0" customWidth="1"/>
    <col min="8" max="8" width="15.140625" style="0" customWidth="1"/>
    <col min="10" max="10" width="9.8515625" style="0" customWidth="1"/>
    <col min="11" max="11" width="8.00390625" style="0" customWidth="1"/>
    <col min="13" max="13" width="7.8515625" style="0" customWidth="1"/>
    <col min="14" max="14" width="6.28125" style="0" customWidth="1"/>
    <col min="15" max="15" width="7.421875" style="0" customWidth="1"/>
    <col min="16" max="16" width="6.57421875" style="0" customWidth="1"/>
    <col min="18" max="18" width="20.140625" style="0" customWidth="1"/>
    <col min="19" max="19" width="9.28125" style="0" customWidth="1"/>
    <col min="20" max="20" width="17.8515625" style="0" customWidth="1"/>
    <col min="22" max="22" width="9.8515625" style="0" customWidth="1"/>
    <col min="23" max="23" width="10.421875" style="0" customWidth="1"/>
    <col min="24" max="24" width="11.7109375" style="0" customWidth="1"/>
    <col min="25" max="25" width="8.421875" style="0" customWidth="1"/>
    <col min="26" max="26" width="8.57421875" style="0" customWidth="1"/>
    <col min="28" max="28" width="26.421875" style="0" customWidth="1"/>
  </cols>
  <sheetData>
    <row r="1" spans="1:5" ht="15.75">
      <c r="A1" s="12" t="s">
        <v>42</v>
      </c>
      <c r="B1" s="12"/>
      <c r="C1" s="32" t="s">
        <v>579</v>
      </c>
      <c r="E1" s="2" t="s">
        <v>84</v>
      </c>
    </row>
    <row r="2" spans="1:5" ht="15">
      <c r="A2" s="12"/>
      <c r="B2" s="12"/>
      <c r="E2" s="3" t="s">
        <v>850</v>
      </c>
    </row>
    <row r="3" spans="1:3" ht="12.75">
      <c r="A3" s="12" t="s">
        <v>53</v>
      </c>
      <c r="B3" s="12" t="s">
        <v>54</v>
      </c>
      <c r="C3" s="32" t="s">
        <v>485</v>
      </c>
    </row>
    <row r="4" spans="1:2" ht="12.75">
      <c r="A4" s="31">
        <v>10047</v>
      </c>
      <c r="B4" s="12"/>
    </row>
    <row r="5" ht="13.5" thickBot="1"/>
    <row r="6" spans="1:66" ht="16.5" customHeight="1">
      <c r="A6" s="558" t="s">
        <v>83</v>
      </c>
      <c r="B6" s="56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06" t="s">
        <v>305</v>
      </c>
      <c r="X6" s="540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600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07"/>
      <c r="X7" s="555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 thickBot="1">
      <c r="A8" s="612"/>
      <c r="B8" s="613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183" t="s">
        <v>59</v>
      </c>
      <c r="M8" s="237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30"/>
      <c r="X8" s="639"/>
      <c r="Y8" s="563"/>
      <c r="Z8" s="563"/>
      <c r="AA8" s="610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30" ht="12.75">
      <c r="A9" s="309" t="s">
        <v>88</v>
      </c>
      <c r="B9" s="313">
        <v>13894</v>
      </c>
      <c r="C9" s="305" t="s">
        <v>580</v>
      </c>
      <c r="D9" s="304">
        <v>10300601</v>
      </c>
      <c r="E9" s="305" t="s">
        <v>581</v>
      </c>
      <c r="F9" s="304" t="s">
        <v>114</v>
      </c>
      <c r="G9" s="304">
        <v>3742</v>
      </c>
      <c r="H9" s="305" t="s">
        <v>206</v>
      </c>
      <c r="I9" s="304">
        <v>119.266</v>
      </c>
      <c r="J9" s="305" t="s">
        <v>540</v>
      </c>
      <c r="K9" s="304">
        <v>220000</v>
      </c>
      <c r="L9" s="306" t="s">
        <v>583</v>
      </c>
      <c r="M9" s="313">
        <v>0</v>
      </c>
      <c r="N9" s="304" t="s">
        <v>587</v>
      </c>
      <c r="O9" s="304">
        <v>0</v>
      </c>
      <c r="P9" s="304">
        <v>0</v>
      </c>
      <c r="Q9" s="305" t="s">
        <v>92</v>
      </c>
      <c r="R9" s="305" t="s">
        <v>584</v>
      </c>
      <c r="S9" s="305">
        <v>99</v>
      </c>
      <c r="T9" s="305" t="s">
        <v>586</v>
      </c>
      <c r="U9" s="305">
        <v>8</v>
      </c>
      <c r="V9" s="305">
        <v>0</v>
      </c>
      <c r="W9" s="315">
        <f>(Z9*I9/2000)</f>
        <v>0.0357798</v>
      </c>
      <c r="X9" s="310">
        <v>0</v>
      </c>
      <c r="Y9" s="304">
        <v>3</v>
      </c>
      <c r="Z9" s="304">
        <v>0.6</v>
      </c>
      <c r="AA9" s="304" t="s">
        <v>125</v>
      </c>
      <c r="AB9" s="306" t="s">
        <v>91</v>
      </c>
      <c r="AC9" s="303"/>
      <c r="AD9" s="31"/>
    </row>
    <row r="10" spans="1:30" ht="12.75">
      <c r="A10" s="138" t="s">
        <v>88</v>
      </c>
      <c r="B10" s="143">
        <v>13896</v>
      </c>
      <c r="C10" s="124" t="s">
        <v>88</v>
      </c>
      <c r="D10" s="125">
        <v>10300601</v>
      </c>
      <c r="E10" s="124" t="s">
        <v>581</v>
      </c>
      <c r="F10" s="125" t="s">
        <v>114</v>
      </c>
      <c r="G10" s="125">
        <v>3743</v>
      </c>
      <c r="H10" s="124" t="s">
        <v>206</v>
      </c>
      <c r="I10" s="125">
        <v>119.266</v>
      </c>
      <c r="J10" s="124" t="s">
        <v>540</v>
      </c>
      <c r="K10" s="125">
        <v>220000</v>
      </c>
      <c r="L10" s="307" t="s">
        <v>583</v>
      </c>
      <c r="M10" s="143">
        <v>0</v>
      </c>
      <c r="N10" s="125" t="s">
        <v>587</v>
      </c>
      <c r="O10" s="125">
        <v>0</v>
      </c>
      <c r="P10" s="125">
        <v>0</v>
      </c>
      <c r="Q10" s="124" t="s">
        <v>92</v>
      </c>
      <c r="R10" s="124" t="s">
        <v>584</v>
      </c>
      <c r="S10" s="124">
        <v>99</v>
      </c>
      <c r="T10" s="124" t="s">
        <v>586</v>
      </c>
      <c r="U10" s="124">
        <v>8</v>
      </c>
      <c r="V10" s="124">
        <v>0</v>
      </c>
      <c r="W10" s="316">
        <f>Z10*I10/2000</f>
        <v>0.0357798</v>
      </c>
      <c r="X10" s="311">
        <v>0</v>
      </c>
      <c r="Y10" s="125">
        <v>3</v>
      </c>
      <c r="Z10" s="125">
        <v>0.6</v>
      </c>
      <c r="AA10" s="125" t="s">
        <v>125</v>
      </c>
      <c r="AB10" s="307" t="s">
        <v>91</v>
      </c>
      <c r="AC10" s="303"/>
      <c r="AD10" s="31"/>
    </row>
    <row r="11" spans="1:30" ht="12.75">
      <c r="A11" s="138" t="s">
        <v>88</v>
      </c>
      <c r="B11" s="143">
        <v>13898</v>
      </c>
      <c r="C11" s="124">
        <v>3</v>
      </c>
      <c r="D11" s="125">
        <v>10300601</v>
      </c>
      <c r="E11" s="124" t="s">
        <v>581</v>
      </c>
      <c r="F11" s="125" t="s">
        <v>114</v>
      </c>
      <c r="G11" s="125">
        <v>3744</v>
      </c>
      <c r="H11" s="124" t="s">
        <v>137</v>
      </c>
      <c r="I11" s="125">
        <v>5390</v>
      </c>
      <c r="J11" s="124" t="s">
        <v>588</v>
      </c>
      <c r="K11" s="125">
        <v>750000</v>
      </c>
      <c r="L11" s="314" t="s">
        <v>583</v>
      </c>
      <c r="M11" s="143">
        <v>0</v>
      </c>
      <c r="N11" s="125" t="s">
        <v>587</v>
      </c>
      <c r="O11" s="125">
        <v>0.6</v>
      </c>
      <c r="P11" s="125">
        <v>6.88</v>
      </c>
      <c r="Q11" s="124" t="s">
        <v>92</v>
      </c>
      <c r="R11" s="124" t="s">
        <v>584</v>
      </c>
      <c r="S11" s="124">
        <v>99</v>
      </c>
      <c r="T11" s="124" t="s">
        <v>586</v>
      </c>
      <c r="U11" s="124">
        <v>8</v>
      </c>
      <c r="V11" s="124">
        <v>0</v>
      </c>
      <c r="W11" s="316">
        <f>Z11*I11/2000</f>
        <v>61.446</v>
      </c>
      <c r="X11" s="311">
        <v>0</v>
      </c>
      <c r="Y11" s="125">
        <v>3</v>
      </c>
      <c r="Z11" s="125">
        <f>38*0.6</f>
        <v>22.8</v>
      </c>
      <c r="AA11" s="125" t="s">
        <v>592</v>
      </c>
      <c r="AB11" s="307" t="s">
        <v>882</v>
      </c>
      <c r="AC11" s="303"/>
      <c r="AD11" s="31"/>
    </row>
    <row r="12" spans="1:30" ht="12.75">
      <c r="A12" s="138" t="s">
        <v>88</v>
      </c>
      <c r="B12" s="143">
        <v>13907</v>
      </c>
      <c r="C12" s="124" t="s">
        <v>101</v>
      </c>
      <c r="D12" s="125">
        <v>10300209</v>
      </c>
      <c r="E12" s="124" t="s">
        <v>581</v>
      </c>
      <c r="F12" s="125" t="s">
        <v>114</v>
      </c>
      <c r="G12" s="125">
        <v>3745</v>
      </c>
      <c r="H12" s="124" t="s">
        <v>137</v>
      </c>
      <c r="I12" s="125">
        <v>0</v>
      </c>
      <c r="J12" s="124" t="s">
        <v>588</v>
      </c>
      <c r="K12" s="125">
        <v>600000</v>
      </c>
      <c r="L12" s="307" t="s">
        <v>583</v>
      </c>
      <c r="M12" s="143">
        <v>0</v>
      </c>
      <c r="N12" s="125" t="s">
        <v>587</v>
      </c>
      <c r="O12" s="125">
        <v>0.6</v>
      </c>
      <c r="P12" s="125">
        <v>6.88</v>
      </c>
      <c r="Q12" s="124" t="s">
        <v>92</v>
      </c>
      <c r="R12" s="124" t="s">
        <v>584</v>
      </c>
      <c r="S12" s="124">
        <v>99</v>
      </c>
      <c r="T12" s="124" t="s">
        <v>586</v>
      </c>
      <c r="U12" s="124">
        <v>8</v>
      </c>
      <c r="V12" s="124">
        <v>0</v>
      </c>
      <c r="W12" s="316">
        <f>Z12*I12*O12/2000</f>
        <v>0</v>
      </c>
      <c r="X12" s="311">
        <v>0</v>
      </c>
      <c r="Y12" s="125">
        <v>3</v>
      </c>
      <c r="Z12" s="125">
        <f>38*0.6</f>
        <v>22.8</v>
      </c>
      <c r="AA12" s="125" t="s">
        <v>592</v>
      </c>
      <c r="AB12" s="307" t="s">
        <v>882</v>
      </c>
      <c r="AC12" s="303"/>
      <c r="AD12" s="31"/>
    </row>
    <row r="13" spans="1:30" ht="12.75">
      <c r="A13" s="498" t="s">
        <v>88</v>
      </c>
      <c r="B13" s="499">
        <v>13908</v>
      </c>
      <c r="C13" s="500">
        <v>5</v>
      </c>
      <c r="D13" s="501">
        <v>10300601</v>
      </c>
      <c r="E13" s="500" t="s">
        <v>581</v>
      </c>
      <c r="F13" s="501" t="s">
        <v>114</v>
      </c>
      <c r="G13" s="501">
        <v>3746</v>
      </c>
      <c r="H13" s="500" t="s">
        <v>154</v>
      </c>
      <c r="I13" s="501">
        <v>5390</v>
      </c>
      <c r="J13" s="500" t="s">
        <v>588</v>
      </c>
      <c r="K13" s="501">
        <v>750000</v>
      </c>
      <c r="L13" s="502" t="s">
        <v>583</v>
      </c>
      <c r="M13" s="499">
        <v>0</v>
      </c>
      <c r="N13" s="501" t="s">
        <v>587</v>
      </c>
      <c r="O13" s="501">
        <v>0.6</v>
      </c>
      <c r="P13" s="501">
        <v>6.88</v>
      </c>
      <c r="Q13" s="500" t="s">
        <v>92</v>
      </c>
      <c r="R13" s="500" t="s">
        <v>584</v>
      </c>
      <c r="S13" s="500">
        <v>99</v>
      </c>
      <c r="T13" s="500" t="s">
        <v>586</v>
      </c>
      <c r="U13" s="500">
        <v>8</v>
      </c>
      <c r="V13" s="500">
        <v>0</v>
      </c>
      <c r="W13" s="504">
        <f aca="true" t="shared" si="0" ref="W13:W21">Z13*I13/2000</f>
        <v>61.446</v>
      </c>
      <c r="X13" s="503">
        <v>0</v>
      </c>
      <c r="Y13" s="501">
        <v>3</v>
      </c>
      <c r="Z13" s="501">
        <f>38*0.6</f>
        <v>22.8</v>
      </c>
      <c r="AA13" s="501" t="s">
        <v>592</v>
      </c>
      <c r="AB13" s="505" t="s">
        <v>882</v>
      </c>
      <c r="AC13" s="303"/>
      <c r="AD13" s="31"/>
    </row>
    <row r="14" spans="1:30" ht="12.75">
      <c r="A14" s="507">
        <v>2</v>
      </c>
      <c r="B14" s="125">
        <v>13908</v>
      </c>
      <c r="C14" s="124">
        <v>5</v>
      </c>
      <c r="D14" s="125">
        <v>10300601</v>
      </c>
      <c r="E14" s="124" t="s">
        <v>581</v>
      </c>
      <c r="F14" s="125" t="s">
        <v>114</v>
      </c>
      <c r="G14" s="125">
        <v>3746</v>
      </c>
      <c r="H14" s="124" t="s">
        <v>589</v>
      </c>
      <c r="I14" s="125">
        <v>3.55</v>
      </c>
      <c r="J14" s="124" t="s">
        <v>678</v>
      </c>
      <c r="K14" s="125"/>
      <c r="L14" s="314"/>
      <c r="M14" s="143">
        <v>0</v>
      </c>
      <c r="N14" s="125" t="s">
        <v>587</v>
      </c>
      <c r="O14" s="125">
        <v>0.24</v>
      </c>
      <c r="P14" s="125"/>
      <c r="Q14" s="124" t="s">
        <v>92</v>
      </c>
      <c r="R14" s="124" t="s">
        <v>584</v>
      </c>
      <c r="S14" s="124">
        <v>99</v>
      </c>
      <c r="T14" s="124" t="s">
        <v>586</v>
      </c>
      <c r="U14" s="124">
        <v>8</v>
      </c>
      <c r="V14" s="124">
        <v>0</v>
      </c>
      <c r="W14" s="316">
        <f t="shared" si="0"/>
        <v>0.07508605</v>
      </c>
      <c r="X14" s="311">
        <v>0</v>
      </c>
      <c r="Y14" s="125">
        <v>3</v>
      </c>
      <c r="Z14" s="125">
        <f>162.7*0.26</f>
        <v>42.302</v>
      </c>
      <c r="AA14" s="125" t="s">
        <v>592</v>
      </c>
      <c r="AB14" s="307" t="s">
        <v>883</v>
      </c>
      <c r="AC14" s="303"/>
      <c r="AD14" s="31"/>
    </row>
    <row r="15" spans="1:30" ht="12.75">
      <c r="A15" s="507" t="s">
        <v>88</v>
      </c>
      <c r="B15" s="125">
        <v>13910</v>
      </c>
      <c r="C15" s="124" t="s">
        <v>105</v>
      </c>
      <c r="D15" s="125">
        <v>39990013</v>
      </c>
      <c r="E15" s="124" t="s">
        <v>582</v>
      </c>
      <c r="F15" s="125" t="s">
        <v>114</v>
      </c>
      <c r="G15" s="125">
        <v>3747</v>
      </c>
      <c r="H15" s="124" t="s">
        <v>206</v>
      </c>
      <c r="I15" s="125">
        <v>607.2</v>
      </c>
      <c r="J15" s="125" t="s">
        <v>583</v>
      </c>
      <c r="K15" s="125">
        <v>6</v>
      </c>
      <c r="L15" s="307" t="s">
        <v>591</v>
      </c>
      <c r="M15" s="143">
        <v>0</v>
      </c>
      <c r="N15" s="125" t="s">
        <v>587</v>
      </c>
      <c r="O15" s="125">
        <v>0</v>
      </c>
      <c r="P15" s="125">
        <v>0</v>
      </c>
      <c r="Q15" s="124" t="s">
        <v>92</v>
      </c>
      <c r="R15" s="124" t="s">
        <v>585</v>
      </c>
      <c r="S15" s="124">
        <v>21</v>
      </c>
      <c r="T15" s="124"/>
      <c r="U15" s="124"/>
      <c r="V15" s="124">
        <v>0</v>
      </c>
      <c r="W15" s="316">
        <f>(Z15/1000)*I15/2000</f>
        <v>0.00018215999999999998</v>
      </c>
      <c r="X15" s="311">
        <v>0</v>
      </c>
      <c r="Y15" s="125">
        <v>3</v>
      </c>
      <c r="Z15" s="125">
        <v>0.6</v>
      </c>
      <c r="AA15" s="125" t="s">
        <v>125</v>
      </c>
      <c r="AB15" s="307" t="s">
        <v>91</v>
      </c>
      <c r="AC15" s="303"/>
      <c r="AD15" s="31"/>
    </row>
    <row r="16" spans="1:30" ht="12.75">
      <c r="A16" s="507">
        <v>2</v>
      </c>
      <c r="B16" s="125">
        <v>13910</v>
      </c>
      <c r="C16" s="124">
        <v>6</v>
      </c>
      <c r="D16" s="125">
        <v>39990013</v>
      </c>
      <c r="E16" s="124" t="s">
        <v>903</v>
      </c>
      <c r="F16" s="125" t="s">
        <v>114</v>
      </c>
      <c r="G16" s="125">
        <v>3747</v>
      </c>
      <c r="H16" s="124" t="s">
        <v>904</v>
      </c>
      <c r="I16" s="125">
        <v>5.63</v>
      </c>
      <c r="J16" s="125" t="s">
        <v>627</v>
      </c>
      <c r="K16" s="125"/>
      <c r="L16" s="307"/>
      <c r="M16" s="143"/>
      <c r="N16" s="125"/>
      <c r="O16" s="125"/>
      <c r="P16" s="125"/>
      <c r="Q16" s="124" t="s">
        <v>92</v>
      </c>
      <c r="R16" s="124"/>
      <c r="S16" s="124"/>
      <c r="T16" s="124"/>
      <c r="U16" s="124"/>
      <c r="V16" s="124">
        <v>0</v>
      </c>
      <c r="W16" s="316">
        <f>Z16*I16/2000</f>
        <v>0.006108549999999999</v>
      </c>
      <c r="X16" s="311">
        <v>0</v>
      </c>
      <c r="Y16" s="125">
        <v>3</v>
      </c>
      <c r="Z16" s="125">
        <v>2.17</v>
      </c>
      <c r="AA16" s="125" t="s">
        <v>766</v>
      </c>
      <c r="AB16" s="307"/>
      <c r="AC16" s="104"/>
      <c r="AD16" s="104"/>
    </row>
    <row r="17" spans="1:30" ht="12.75">
      <c r="A17" s="507">
        <v>2</v>
      </c>
      <c r="B17" s="125">
        <v>17238</v>
      </c>
      <c r="C17" s="124">
        <v>12</v>
      </c>
      <c r="D17" s="125">
        <v>10100401</v>
      </c>
      <c r="E17" s="124" t="s">
        <v>873</v>
      </c>
      <c r="F17" s="125" t="s">
        <v>114</v>
      </c>
      <c r="G17" s="125">
        <v>0</v>
      </c>
      <c r="H17" s="124" t="s">
        <v>874</v>
      </c>
      <c r="I17" s="125">
        <v>880</v>
      </c>
      <c r="J17" s="125" t="s">
        <v>590</v>
      </c>
      <c r="K17" s="125">
        <v>7300</v>
      </c>
      <c r="L17" s="307" t="s">
        <v>653</v>
      </c>
      <c r="M17" s="143">
        <v>0</v>
      </c>
      <c r="N17" s="125" t="s">
        <v>587</v>
      </c>
      <c r="O17" s="125" t="s">
        <v>876</v>
      </c>
      <c r="P17" s="125">
        <v>0</v>
      </c>
      <c r="Q17" s="124" t="s">
        <v>92</v>
      </c>
      <c r="R17" s="124"/>
      <c r="S17" s="124"/>
      <c r="T17" s="124"/>
      <c r="U17" s="124"/>
      <c r="V17" s="124">
        <v>0</v>
      </c>
      <c r="W17" s="316">
        <f t="shared" si="0"/>
        <v>0.06908</v>
      </c>
      <c r="X17" s="311">
        <v>0</v>
      </c>
      <c r="Y17" s="125">
        <v>3</v>
      </c>
      <c r="Z17" s="125">
        <v>0.157</v>
      </c>
      <c r="AA17" s="125" t="s">
        <v>680</v>
      </c>
      <c r="AB17" s="307" t="s">
        <v>875</v>
      </c>
      <c r="AC17" s="104"/>
      <c r="AD17" s="104"/>
    </row>
    <row r="18" spans="1:30" ht="12.75">
      <c r="A18" s="507">
        <v>2</v>
      </c>
      <c r="B18" s="125">
        <v>17237</v>
      </c>
      <c r="C18" s="124">
        <v>11</v>
      </c>
      <c r="D18" s="125">
        <v>10100501</v>
      </c>
      <c r="E18" s="124" t="s">
        <v>877</v>
      </c>
      <c r="F18" s="125" t="s">
        <v>114</v>
      </c>
      <c r="G18" s="125">
        <v>0</v>
      </c>
      <c r="H18" s="124" t="s">
        <v>122</v>
      </c>
      <c r="I18" s="125">
        <v>152.4</v>
      </c>
      <c r="J18" s="125" t="s">
        <v>590</v>
      </c>
      <c r="K18" s="125">
        <v>1000000</v>
      </c>
      <c r="L18" s="307" t="s">
        <v>653</v>
      </c>
      <c r="M18" s="143">
        <v>0</v>
      </c>
      <c r="N18" s="125" t="s">
        <v>587</v>
      </c>
      <c r="O18" s="125" t="s">
        <v>879</v>
      </c>
      <c r="P18" s="125">
        <v>0</v>
      </c>
      <c r="Q18" s="124" t="s">
        <v>92</v>
      </c>
      <c r="R18" s="124"/>
      <c r="S18" s="124"/>
      <c r="T18" s="124"/>
      <c r="U18" s="124"/>
      <c r="V18" s="124">
        <v>0</v>
      </c>
      <c r="W18" s="316">
        <f t="shared" si="0"/>
        <v>7.620000000000001E-05</v>
      </c>
      <c r="X18" s="311">
        <v>0</v>
      </c>
      <c r="Y18" s="125">
        <v>3</v>
      </c>
      <c r="Z18" s="125">
        <v>0.001</v>
      </c>
      <c r="AA18" s="125" t="s">
        <v>680</v>
      </c>
      <c r="AB18" s="307" t="s">
        <v>878</v>
      </c>
      <c r="AC18" s="104"/>
      <c r="AD18" s="104"/>
    </row>
    <row r="19" spans="1:30" ht="12.75">
      <c r="A19" s="507">
        <v>2</v>
      </c>
      <c r="B19" s="125">
        <v>17235</v>
      </c>
      <c r="C19" s="124">
        <v>9</v>
      </c>
      <c r="D19" s="125">
        <v>20300101</v>
      </c>
      <c r="E19" s="124" t="s">
        <v>880</v>
      </c>
      <c r="F19" s="125" t="s">
        <v>114</v>
      </c>
      <c r="G19" s="125">
        <v>0</v>
      </c>
      <c r="H19" s="124" t="s">
        <v>122</v>
      </c>
      <c r="I19" s="125">
        <f>(400/42)*5900000/1000000</f>
        <v>56.19047619047619</v>
      </c>
      <c r="J19" s="125" t="s">
        <v>583</v>
      </c>
      <c r="K19" s="125">
        <v>500000</v>
      </c>
      <c r="L19" s="307" t="s">
        <v>653</v>
      </c>
      <c r="M19" s="143">
        <v>0</v>
      </c>
      <c r="N19" s="125" t="s">
        <v>587</v>
      </c>
      <c r="O19" s="125">
        <v>0</v>
      </c>
      <c r="P19" s="125">
        <v>0</v>
      </c>
      <c r="Q19" s="124" t="s">
        <v>92</v>
      </c>
      <c r="R19" s="124"/>
      <c r="S19" s="124"/>
      <c r="T19" s="124"/>
      <c r="U19" s="124"/>
      <c r="V19" s="124">
        <v>0</v>
      </c>
      <c r="W19" s="316">
        <f t="shared" si="0"/>
        <v>0.0073778095238095235</v>
      </c>
      <c r="X19" s="311">
        <v>0</v>
      </c>
      <c r="Y19" s="125">
        <v>3</v>
      </c>
      <c r="Z19" s="125">
        <f>0.26*1.01</f>
        <v>0.2626</v>
      </c>
      <c r="AA19" s="125" t="s">
        <v>125</v>
      </c>
      <c r="AB19" s="307" t="s">
        <v>885</v>
      </c>
      <c r="AC19" s="104"/>
      <c r="AD19" s="104"/>
    </row>
    <row r="20" spans="1:30" ht="12.75">
      <c r="A20" s="507">
        <v>2</v>
      </c>
      <c r="B20" s="125">
        <v>17233</v>
      </c>
      <c r="C20" s="124">
        <v>10</v>
      </c>
      <c r="D20" s="125">
        <v>10300603</v>
      </c>
      <c r="E20" s="124" t="s">
        <v>881</v>
      </c>
      <c r="F20" s="125" t="s">
        <v>114</v>
      </c>
      <c r="G20" s="125">
        <v>0</v>
      </c>
      <c r="H20" s="124" t="s">
        <v>206</v>
      </c>
      <c r="I20" s="506">
        <v>77.255</v>
      </c>
      <c r="J20" s="125" t="s">
        <v>124</v>
      </c>
      <c r="K20" s="125">
        <v>1000000</v>
      </c>
      <c r="L20" s="307" t="s">
        <v>583</v>
      </c>
      <c r="M20" s="143">
        <v>910</v>
      </c>
      <c r="N20" s="125" t="s">
        <v>690</v>
      </c>
      <c r="O20" s="125">
        <v>0</v>
      </c>
      <c r="P20" s="125">
        <v>0</v>
      </c>
      <c r="Q20" s="124" t="s">
        <v>92</v>
      </c>
      <c r="R20" s="124"/>
      <c r="S20" s="124"/>
      <c r="T20" s="124"/>
      <c r="U20" s="124"/>
      <c r="V20" s="124">
        <v>0</v>
      </c>
      <c r="W20" s="316">
        <f t="shared" si="0"/>
        <v>0.023176499999999996</v>
      </c>
      <c r="X20" s="311">
        <v>0</v>
      </c>
      <c r="Y20" s="125">
        <v>3</v>
      </c>
      <c r="Z20" s="125">
        <v>0.6</v>
      </c>
      <c r="AA20" s="125" t="s">
        <v>125</v>
      </c>
      <c r="AB20" s="307" t="s">
        <v>875</v>
      </c>
      <c r="AC20" s="104"/>
      <c r="AD20" s="104"/>
    </row>
    <row r="21" spans="1:30" ht="13.5" thickBot="1">
      <c r="A21" s="508">
        <v>2</v>
      </c>
      <c r="B21" s="132">
        <v>17231</v>
      </c>
      <c r="C21" s="133">
        <v>8</v>
      </c>
      <c r="D21" s="132">
        <v>39990013</v>
      </c>
      <c r="E21" s="133" t="s">
        <v>880</v>
      </c>
      <c r="F21" s="132" t="s">
        <v>114</v>
      </c>
      <c r="G21" s="132">
        <v>0</v>
      </c>
      <c r="H21" s="133" t="s">
        <v>122</v>
      </c>
      <c r="I21" s="132">
        <f>(470/42)*5900000/1000000</f>
        <v>66.02380952380952</v>
      </c>
      <c r="J21" s="132" t="s">
        <v>583</v>
      </c>
      <c r="K21" s="132">
        <v>1500000</v>
      </c>
      <c r="L21" s="308" t="s">
        <v>653</v>
      </c>
      <c r="M21" s="145">
        <v>0</v>
      </c>
      <c r="N21" s="132" t="s">
        <v>587</v>
      </c>
      <c r="O21" s="132">
        <v>0</v>
      </c>
      <c r="P21" s="132">
        <v>0</v>
      </c>
      <c r="Q21" s="133" t="s">
        <v>92</v>
      </c>
      <c r="R21" s="133"/>
      <c r="S21" s="133"/>
      <c r="T21" s="133"/>
      <c r="U21" s="133"/>
      <c r="V21" s="133">
        <v>0</v>
      </c>
      <c r="W21" s="317">
        <f t="shared" si="0"/>
        <v>0.00866892619047619</v>
      </c>
      <c r="X21" s="312">
        <v>0</v>
      </c>
      <c r="Y21" s="132">
        <v>3</v>
      </c>
      <c r="Z21" s="132">
        <f>1.01*0.26</f>
        <v>0.2626</v>
      </c>
      <c r="AA21" s="132" t="s">
        <v>125</v>
      </c>
      <c r="AB21" s="308" t="s">
        <v>885</v>
      </c>
      <c r="AC21" s="104"/>
      <c r="AD21" s="104"/>
    </row>
    <row r="22" spans="22:23" ht="13.5" thickBot="1">
      <c r="V22" s="436" t="s">
        <v>118</v>
      </c>
      <c r="W22" s="493">
        <f>SUM(W9:W21)</f>
        <v>123.15331579571426</v>
      </c>
    </row>
    <row r="23" ht="13.5" thickTop="1"/>
    <row r="25" ht="12.75">
      <c r="C25" s="12" t="s">
        <v>85</v>
      </c>
    </row>
    <row r="26" ht="12.75">
      <c r="C26" t="s">
        <v>593</v>
      </c>
    </row>
    <row r="27" ht="12.75">
      <c r="D27" t="s">
        <v>890</v>
      </c>
    </row>
    <row r="28" ht="12.75">
      <c r="C28" t="s">
        <v>893</v>
      </c>
    </row>
    <row r="29" ht="12.75">
      <c r="D29" t="s">
        <v>891</v>
      </c>
    </row>
    <row r="30" spans="3:4" ht="12.75">
      <c r="C30">
        <v>13908</v>
      </c>
      <c r="D30" t="s">
        <v>594</v>
      </c>
    </row>
    <row r="31" ht="12.75">
      <c r="D31" t="s">
        <v>892</v>
      </c>
    </row>
    <row r="32" ht="12.75">
      <c r="C32">
        <v>13910</v>
      </c>
    </row>
    <row r="33" ht="12.75">
      <c r="D33" t="s">
        <v>894</v>
      </c>
    </row>
    <row r="34" ht="12.75">
      <c r="C34" t="s">
        <v>895</v>
      </c>
    </row>
    <row r="35" ht="12.75">
      <c r="D35" t="s">
        <v>896</v>
      </c>
    </row>
    <row r="36" ht="12.75">
      <c r="C36">
        <v>17237</v>
      </c>
    </row>
    <row r="37" ht="12.75">
      <c r="D37" t="s">
        <v>897</v>
      </c>
    </row>
    <row r="38" ht="12.75">
      <c r="C38" t="s">
        <v>888</v>
      </c>
    </row>
    <row r="39" ht="12.75">
      <c r="D39" t="s">
        <v>887</v>
      </c>
    </row>
    <row r="40" ht="12.75">
      <c r="C40">
        <v>17235</v>
      </c>
    </row>
    <row r="41" ht="12.75">
      <c r="D41" t="s">
        <v>898</v>
      </c>
    </row>
    <row r="42" ht="12.75">
      <c r="C42">
        <v>17233</v>
      </c>
    </row>
    <row r="43" ht="12.75">
      <c r="D43" t="s">
        <v>902</v>
      </c>
    </row>
    <row r="44" ht="12.75">
      <c r="C44">
        <v>17231</v>
      </c>
    </row>
    <row r="45" ht="12.75">
      <c r="D45" t="s">
        <v>899</v>
      </c>
    </row>
    <row r="46" spans="3:7" ht="12.75">
      <c r="C46">
        <v>13910</v>
      </c>
      <c r="D46" t="s">
        <v>595</v>
      </c>
      <c r="G46" s="509"/>
    </row>
    <row r="47" ht="12.75">
      <c r="D47" t="s">
        <v>596</v>
      </c>
    </row>
    <row r="48" ht="12.75">
      <c r="D48" t="s">
        <v>884</v>
      </c>
    </row>
    <row r="49" ht="12.75">
      <c r="D49" t="s">
        <v>905</v>
      </c>
    </row>
    <row r="50" spans="3:4" ht="12.75">
      <c r="C50">
        <v>13910</v>
      </c>
      <c r="D50" t="s">
        <v>904</v>
      </c>
    </row>
    <row r="51" ht="12.75">
      <c r="D51" t="s">
        <v>906</v>
      </c>
    </row>
    <row r="52" ht="12.75">
      <c r="C52" t="s">
        <v>886</v>
      </c>
    </row>
    <row r="53" ht="12.75">
      <c r="C53" t="s">
        <v>845</v>
      </c>
    </row>
    <row r="54" spans="4:7" ht="12.75">
      <c r="D54" t="s">
        <v>900</v>
      </c>
      <c r="G54" s="497"/>
    </row>
    <row r="55" spans="4:7" ht="12.75">
      <c r="D55" t="s">
        <v>901</v>
      </c>
      <c r="G55" s="497"/>
    </row>
    <row r="56" spans="4:7" ht="12.75">
      <c r="D56" t="s">
        <v>889</v>
      </c>
      <c r="G56" s="497"/>
    </row>
  </sheetData>
  <mergeCells count="24">
    <mergeCell ref="T7:T8"/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49" right="0.54" top="1.63" bottom="0.55" header="0.5" footer="0.17"/>
  <pageSetup horizontalDpi="600" verticalDpi="600" orientation="landscape" pageOrder="overThenDown" r:id="rId1"/>
  <headerFooter alignWithMargins="0">
    <oddHeader>&amp;L
Utah State University
Site Name:  Heating plant - Primary Source
Site ID:  10047&amp;C&amp;"Arial,Bold"Regional Haze&amp;"Arial,Regular"
1998 Statewide SOx Sources</oddHeader>
    <oddFooter>&amp;R&amp;D
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BM38"/>
  <sheetViews>
    <sheetView workbookViewId="0" topLeftCell="A1">
      <selection activeCell="C1" sqref="C1"/>
    </sheetView>
  </sheetViews>
  <sheetFormatPr defaultColWidth="9.140625" defaultRowHeight="12.75"/>
  <cols>
    <col min="1" max="1" width="7.28125" style="0" customWidth="1"/>
    <col min="3" max="3" width="8.421875" style="0" customWidth="1"/>
    <col min="4" max="4" width="11.421875" style="0" customWidth="1"/>
    <col min="5" max="5" width="18.00390625" style="0" customWidth="1"/>
    <col min="6" max="6" width="6.00390625" style="0" customWidth="1"/>
    <col min="7" max="7" width="10.421875" style="0" customWidth="1"/>
    <col min="8" max="8" width="11.57421875" style="0" customWidth="1"/>
    <col min="9" max="9" width="10.8515625" style="0" customWidth="1"/>
    <col min="10" max="10" width="9.28125" style="0" customWidth="1"/>
    <col min="11" max="11" width="8.140625" style="0" customWidth="1"/>
    <col min="13" max="13" width="10.28125" style="0" customWidth="1"/>
    <col min="14" max="14" width="6.57421875" style="0" customWidth="1"/>
    <col min="15" max="15" width="6.28125" style="0" customWidth="1"/>
    <col min="16" max="16" width="6.00390625" style="0" customWidth="1"/>
    <col min="17" max="17" width="9.8515625" style="0" customWidth="1"/>
    <col min="18" max="18" width="8.57421875" style="0" customWidth="1"/>
    <col min="19" max="19" width="11.00390625" style="0" customWidth="1"/>
    <col min="20" max="20" width="13.00390625" style="0" customWidth="1"/>
    <col min="21" max="21" width="13.140625" style="0" customWidth="1"/>
    <col min="22" max="23" width="9.8515625" style="0" customWidth="1"/>
    <col min="24" max="24" width="12.8515625" style="0" customWidth="1"/>
    <col min="25" max="25" width="8.421875" style="0" customWidth="1"/>
    <col min="26" max="26" width="10.00390625" style="0" customWidth="1"/>
    <col min="27" max="27" width="9.00390625" style="0" customWidth="1"/>
    <col min="28" max="28" width="13.421875" style="0" customWidth="1"/>
  </cols>
  <sheetData>
    <row r="1" spans="1:23" ht="15.75">
      <c r="A1" s="12" t="s">
        <v>42</v>
      </c>
      <c r="B1" s="12"/>
      <c r="C1" s="513" t="s">
        <v>964</v>
      </c>
      <c r="E1" s="2" t="s">
        <v>84</v>
      </c>
      <c r="W1" s="42"/>
    </row>
    <row r="2" spans="1:23" ht="15">
      <c r="A2" s="12"/>
      <c r="B2" s="12"/>
      <c r="E2" s="3" t="s">
        <v>850</v>
      </c>
      <c r="W2" s="42"/>
    </row>
    <row r="3" spans="1:23" ht="12.75">
      <c r="A3" s="12" t="s">
        <v>53</v>
      </c>
      <c r="B3" s="12" t="s">
        <v>54</v>
      </c>
      <c r="C3" s="513" t="s">
        <v>965</v>
      </c>
      <c r="W3" s="42"/>
    </row>
    <row r="4" spans="1:23" ht="12.75">
      <c r="A4" s="512">
        <v>12096</v>
      </c>
      <c r="B4" s="12"/>
      <c r="W4" s="42"/>
    </row>
    <row r="5" ht="13.5" thickBot="1">
      <c r="W5" s="42"/>
    </row>
    <row r="6" spans="1:65" ht="16.5" customHeight="1">
      <c r="A6" s="576" t="s">
        <v>83</v>
      </c>
      <c r="B6" s="54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6"/>
      <c r="M6" s="572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40" t="s">
        <v>305</v>
      </c>
      <c r="X6" s="541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</row>
    <row r="7" spans="1:65" s="1" customFormat="1" ht="24.7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601"/>
      <c r="R7" s="557" t="s">
        <v>81</v>
      </c>
      <c r="S7" s="557" t="s">
        <v>73</v>
      </c>
      <c r="T7" s="557" t="s">
        <v>705</v>
      </c>
      <c r="U7" s="557" t="s">
        <v>73</v>
      </c>
      <c r="V7" s="557"/>
      <c r="W7" s="641"/>
      <c r="X7" s="557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ht="25.5" customHeight="1">
      <c r="A8" s="613"/>
      <c r="B8" s="611"/>
      <c r="C8" s="611"/>
      <c r="D8" s="611"/>
      <c r="E8" s="611"/>
      <c r="F8" s="611"/>
      <c r="G8" s="611"/>
      <c r="H8" s="611"/>
      <c r="I8" s="56" t="s">
        <v>57</v>
      </c>
      <c r="J8" s="56" t="s">
        <v>58</v>
      </c>
      <c r="K8" s="56" t="s">
        <v>56</v>
      </c>
      <c r="L8" s="56" t="s">
        <v>59</v>
      </c>
      <c r="M8" s="56" t="s">
        <v>60</v>
      </c>
      <c r="N8" s="56" t="s">
        <v>59</v>
      </c>
      <c r="O8" s="56" t="s">
        <v>61</v>
      </c>
      <c r="P8" s="56" t="s">
        <v>62</v>
      </c>
      <c r="Q8" s="610"/>
      <c r="R8" s="563"/>
      <c r="S8" s="563"/>
      <c r="T8" s="610"/>
      <c r="U8" s="563"/>
      <c r="V8" s="563"/>
      <c r="W8" s="642"/>
      <c r="X8" s="563"/>
      <c r="Y8" s="563"/>
      <c r="Z8" s="563"/>
      <c r="AA8" s="610"/>
      <c r="AB8" s="617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1:28" ht="12.75">
      <c r="A9" s="516" t="s">
        <v>135</v>
      </c>
      <c r="B9" s="517">
        <v>18811</v>
      </c>
      <c r="C9" s="516" t="s">
        <v>91</v>
      </c>
      <c r="D9" s="517">
        <v>20400402</v>
      </c>
      <c r="E9" s="516" t="s">
        <v>966</v>
      </c>
      <c r="F9" s="517" t="s">
        <v>114</v>
      </c>
      <c r="G9" s="517">
        <v>0</v>
      </c>
      <c r="H9" s="516" t="s">
        <v>159</v>
      </c>
      <c r="I9" s="517">
        <v>44982</v>
      </c>
      <c r="J9" s="517" t="s">
        <v>986</v>
      </c>
      <c r="K9" s="517"/>
      <c r="L9" s="517"/>
      <c r="M9" s="517">
        <v>0</v>
      </c>
      <c r="N9" s="517">
        <v>0</v>
      </c>
      <c r="O9" s="517">
        <v>0</v>
      </c>
      <c r="P9" s="517">
        <v>0</v>
      </c>
      <c r="Q9" s="517" t="s">
        <v>408</v>
      </c>
      <c r="R9" s="517">
        <v>0</v>
      </c>
      <c r="S9" s="517">
        <v>0</v>
      </c>
      <c r="T9" s="517"/>
      <c r="U9" s="516"/>
      <c r="V9" s="72"/>
      <c r="W9" s="433">
        <f>Z9*I9/2000</f>
        <v>3.0812670000000004</v>
      </c>
      <c r="X9" s="72"/>
      <c r="Y9" s="72">
        <v>3</v>
      </c>
      <c r="Z9" s="72">
        <v>0.137</v>
      </c>
      <c r="AA9" s="72" t="s">
        <v>394</v>
      </c>
      <c r="AB9" s="72"/>
    </row>
    <row r="10" spans="1:28" ht="12.75">
      <c r="A10" s="516" t="s">
        <v>202</v>
      </c>
      <c r="B10" s="517">
        <v>19164</v>
      </c>
      <c r="C10" s="516" t="s">
        <v>91</v>
      </c>
      <c r="D10" s="517">
        <v>20100102</v>
      </c>
      <c r="E10" s="516" t="s">
        <v>967</v>
      </c>
      <c r="F10" s="517" t="s">
        <v>114</v>
      </c>
      <c r="G10" s="517">
        <v>0</v>
      </c>
      <c r="H10" s="516" t="s">
        <v>159</v>
      </c>
      <c r="I10" s="517">
        <v>41636</v>
      </c>
      <c r="J10" s="517" t="s">
        <v>986</v>
      </c>
      <c r="K10" s="517">
        <v>33.5</v>
      </c>
      <c r="L10" s="517" t="s">
        <v>613</v>
      </c>
      <c r="M10" s="517">
        <v>0</v>
      </c>
      <c r="N10" s="517">
        <v>0</v>
      </c>
      <c r="O10" s="517">
        <v>0</v>
      </c>
      <c r="P10" s="517">
        <v>0</v>
      </c>
      <c r="Q10" s="517" t="s">
        <v>408</v>
      </c>
      <c r="R10" s="517">
        <v>0</v>
      </c>
      <c r="S10" s="517">
        <v>0</v>
      </c>
      <c r="T10" s="517"/>
      <c r="U10" s="516"/>
      <c r="V10" s="72"/>
      <c r="W10" s="433">
        <f>Z10*K10*I10/2000</f>
        <v>1.4645463</v>
      </c>
      <c r="X10" s="72"/>
      <c r="Y10" s="72">
        <v>3</v>
      </c>
      <c r="Z10" s="72">
        <v>0.0021</v>
      </c>
      <c r="AA10" s="72" t="s">
        <v>988</v>
      </c>
      <c r="AB10" s="72"/>
    </row>
    <row r="11" spans="1:28" ht="12.75">
      <c r="A11" s="516" t="s">
        <v>202</v>
      </c>
      <c r="B11" s="517">
        <v>19165</v>
      </c>
      <c r="C11" s="516" t="s">
        <v>91</v>
      </c>
      <c r="D11" s="517">
        <v>20200102</v>
      </c>
      <c r="E11" s="516" t="s">
        <v>968</v>
      </c>
      <c r="F11" s="517" t="s">
        <v>114</v>
      </c>
      <c r="G11" s="517">
        <v>0</v>
      </c>
      <c r="H11" s="516" t="s">
        <v>159</v>
      </c>
      <c r="I11" s="517">
        <v>117907</v>
      </c>
      <c r="J11" s="517" t="s">
        <v>986</v>
      </c>
      <c r="K11" s="517">
        <v>10.5</v>
      </c>
      <c r="L11" s="517" t="s">
        <v>613</v>
      </c>
      <c r="M11" s="517">
        <v>0</v>
      </c>
      <c r="N11" s="517">
        <v>0</v>
      </c>
      <c r="O11" s="517">
        <v>0</v>
      </c>
      <c r="P11" s="517">
        <v>0</v>
      </c>
      <c r="Q11" s="517" t="s">
        <v>408</v>
      </c>
      <c r="R11" s="517">
        <v>0</v>
      </c>
      <c r="S11" s="517">
        <v>0</v>
      </c>
      <c r="T11" s="517"/>
      <c r="U11" s="516"/>
      <c r="V11" s="72"/>
      <c r="W11" s="433">
        <f>Z11*K11*I11/2000</f>
        <v>1.299924675</v>
      </c>
      <c r="X11" s="72"/>
      <c r="Y11" s="72">
        <v>3</v>
      </c>
      <c r="Z11" s="72">
        <v>0.0021</v>
      </c>
      <c r="AA11" s="72" t="s">
        <v>988</v>
      </c>
      <c r="AB11" s="72"/>
    </row>
    <row r="12" spans="1:28" ht="12.75">
      <c r="A12" s="516" t="s">
        <v>202</v>
      </c>
      <c r="B12" s="517">
        <v>19166</v>
      </c>
      <c r="C12" s="516" t="s">
        <v>91</v>
      </c>
      <c r="D12" s="517">
        <v>20200102</v>
      </c>
      <c r="E12" s="516" t="s">
        <v>969</v>
      </c>
      <c r="F12" s="517" t="s">
        <v>114</v>
      </c>
      <c r="G12" s="517">
        <v>0</v>
      </c>
      <c r="H12" s="516" t="s">
        <v>159</v>
      </c>
      <c r="I12" s="517">
        <v>10019</v>
      </c>
      <c r="J12" s="517" t="s">
        <v>986</v>
      </c>
      <c r="K12" s="517">
        <v>120</v>
      </c>
      <c r="L12" s="517" t="s">
        <v>613</v>
      </c>
      <c r="M12" s="517">
        <v>0</v>
      </c>
      <c r="N12" s="517">
        <v>0</v>
      </c>
      <c r="O12" s="517">
        <v>0</v>
      </c>
      <c r="P12" s="517">
        <v>0</v>
      </c>
      <c r="Q12" s="517" t="s">
        <v>408</v>
      </c>
      <c r="R12" s="517">
        <v>0</v>
      </c>
      <c r="S12" s="517">
        <v>0</v>
      </c>
      <c r="T12" s="517"/>
      <c r="U12" s="516"/>
      <c r="V12" s="72"/>
      <c r="W12" s="433">
        <f>Z12*K12*I12/2000</f>
        <v>1.262394</v>
      </c>
      <c r="X12" s="72"/>
      <c r="Y12" s="72">
        <v>3</v>
      </c>
      <c r="Z12" s="72">
        <v>0.0021</v>
      </c>
      <c r="AA12" s="72" t="s">
        <v>988</v>
      </c>
      <c r="AB12" s="72"/>
    </row>
    <row r="13" spans="1:28" ht="12.75">
      <c r="A13" s="516" t="s">
        <v>202</v>
      </c>
      <c r="B13" s="517">
        <v>19167</v>
      </c>
      <c r="C13" s="516" t="s">
        <v>91</v>
      </c>
      <c r="D13" s="517">
        <v>20200102</v>
      </c>
      <c r="E13" s="516" t="s">
        <v>970</v>
      </c>
      <c r="F13" s="517" t="s">
        <v>114</v>
      </c>
      <c r="G13" s="517">
        <v>0</v>
      </c>
      <c r="H13" s="516" t="s">
        <v>159</v>
      </c>
      <c r="I13" s="517">
        <v>18086</v>
      </c>
      <c r="J13" s="517" t="s">
        <v>986</v>
      </c>
      <c r="K13" s="517">
        <v>10.5</v>
      </c>
      <c r="L13" s="517" t="s">
        <v>613</v>
      </c>
      <c r="M13" s="517">
        <v>0</v>
      </c>
      <c r="N13" s="517">
        <v>0</v>
      </c>
      <c r="O13" s="517">
        <v>0</v>
      </c>
      <c r="P13" s="517">
        <v>0</v>
      </c>
      <c r="Q13" s="517" t="s">
        <v>408</v>
      </c>
      <c r="R13" s="517">
        <v>0</v>
      </c>
      <c r="S13" s="517">
        <v>0</v>
      </c>
      <c r="T13" s="517"/>
      <c r="U13" s="516"/>
      <c r="V13" s="72"/>
      <c r="W13" s="433">
        <f>Z13*K13*I13/2000</f>
        <v>0.19939815000000002</v>
      </c>
      <c r="X13" s="72"/>
      <c r="Y13" s="72">
        <v>3</v>
      </c>
      <c r="Z13" s="72">
        <v>0.0021</v>
      </c>
      <c r="AA13" s="72" t="s">
        <v>988</v>
      </c>
      <c r="AB13" s="72"/>
    </row>
    <row r="14" spans="1:28" ht="12.75">
      <c r="A14" s="516" t="s">
        <v>135</v>
      </c>
      <c r="B14" s="517">
        <v>19277</v>
      </c>
      <c r="C14" s="516" t="s">
        <v>91</v>
      </c>
      <c r="D14" s="517">
        <v>20400402</v>
      </c>
      <c r="E14" s="516" t="s">
        <v>971</v>
      </c>
      <c r="F14" s="517" t="s">
        <v>114</v>
      </c>
      <c r="G14" s="517">
        <v>0</v>
      </c>
      <c r="H14" s="516" t="s">
        <v>159</v>
      </c>
      <c r="I14" s="517">
        <v>29256</v>
      </c>
      <c r="J14" s="517" t="s">
        <v>986</v>
      </c>
      <c r="K14" s="517"/>
      <c r="L14" s="517" t="s">
        <v>91</v>
      </c>
      <c r="M14" s="517">
        <v>0</v>
      </c>
      <c r="N14" s="517">
        <v>0</v>
      </c>
      <c r="O14" s="517">
        <v>0</v>
      </c>
      <c r="P14" s="517">
        <v>0</v>
      </c>
      <c r="Q14" s="517" t="s">
        <v>408</v>
      </c>
      <c r="R14" s="517">
        <v>0</v>
      </c>
      <c r="S14" s="517">
        <v>0</v>
      </c>
      <c r="T14" s="517"/>
      <c r="U14" s="516"/>
      <c r="V14" s="72"/>
      <c r="W14" s="433">
        <f>Z14*I14/2000</f>
        <v>1.31652</v>
      </c>
      <c r="X14" s="72"/>
      <c r="Y14" s="72">
        <v>3</v>
      </c>
      <c r="Z14" s="72">
        <v>0.09</v>
      </c>
      <c r="AA14" s="72" t="s">
        <v>394</v>
      </c>
      <c r="AB14" s="72"/>
    </row>
    <row r="15" spans="1:28" ht="12.75">
      <c r="A15" s="516" t="s">
        <v>135</v>
      </c>
      <c r="B15" s="517">
        <v>19278</v>
      </c>
      <c r="C15" s="516" t="s">
        <v>91</v>
      </c>
      <c r="D15" s="517">
        <v>20400402</v>
      </c>
      <c r="E15" s="516" t="s">
        <v>972</v>
      </c>
      <c r="F15" s="517" t="s">
        <v>114</v>
      </c>
      <c r="G15" s="517">
        <v>0</v>
      </c>
      <c r="H15" s="516" t="s">
        <v>159</v>
      </c>
      <c r="I15" s="517">
        <v>11516</v>
      </c>
      <c r="J15" s="517" t="s">
        <v>986</v>
      </c>
      <c r="K15" s="517"/>
      <c r="L15" s="517"/>
      <c r="M15" s="517">
        <v>0</v>
      </c>
      <c r="N15" s="517">
        <v>0</v>
      </c>
      <c r="O15" s="517">
        <v>0</v>
      </c>
      <c r="P15" s="517">
        <v>0</v>
      </c>
      <c r="Q15" s="517" t="s">
        <v>408</v>
      </c>
      <c r="R15" s="517">
        <v>0</v>
      </c>
      <c r="S15" s="517">
        <v>0</v>
      </c>
      <c r="T15" s="517"/>
      <c r="U15" s="516"/>
      <c r="V15" s="72"/>
      <c r="W15" s="433">
        <f aca="true" t="shared" si="0" ref="W15:W27">Z15*I15/2000</f>
        <v>2.665954</v>
      </c>
      <c r="X15" s="72"/>
      <c r="Y15" s="72">
        <v>3</v>
      </c>
      <c r="Z15" s="72">
        <v>0.463</v>
      </c>
      <c r="AA15" s="72" t="s">
        <v>394</v>
      </c>
      <c r="AB15" s="72"/>
    </row>
    <row r="16" spans="1:28" ht="12.75">
      <c r="A16" s="516" t="s">
        <v>135</v>
      </c>
      <c r="B16" s="517">
        <v>19279</v>
      </c>
      <c r="C16" s="516" t="s">
        <v>91</v>
      </c>
      <c r="D16" s="517">
        <v>20400402</v>
      </c>
      <c r="E16" s="516" t="s">
        <v>234</v>
      </c>
      <c r="F16" s="517" t="s">
        <v>114</v>
      </c>
      <c r="G16" s="517">
        <v>0</v>
      </c>
      <c r="H16" s="516" t="s">
        <v>159</v>
      </c>
      <c r="I16" s="517">
        <v>39252</v>
      </c>
      <c r="J16" s="517" t="s">
        <v>986</v>
      </c>
      <c r="K16" s="517"/>
      <c r="L16" s="517" t="s">
        <v>91</v>
      </c>
      <c r="M16" s="517">
        <v>0</v>
      </c>
      <c r="N16" s="517">
        <v>0</v>
      </c>
      <c r="O16" s="517">
        <v>0</v>
      </c>
      <c r="P16" s="517">
        <v>0</v>
      </c>
      <c r="Q16" s="517" t="s">
        <v>408</v>
      </c>
      <c r="R16" s="517">
        <v>0</v>
      </c>
      <c r="S16" s="517">
        <v>0</v>
      </c>
      <c r="T16" s="517"/>
      <c r="U16" s="516"/>
      <c r="V16" s="72"/>
      <c r="W16" s="433">
        <f t="shared" si="0"/>
        <v>1.687836</v>
      </c>
      <c r="X16" s="72"/>
      <c r="Y16" s="72">
        <v>3</v>
      </c>
      <c r="Z16" s="72">
        <v>0.086</v>
      </c>
      <c r="AA16" s="72" t="s">
        <v>394</v>
      </c>
      <c r="AB16" s="72"/>
    </row>
    <row r="17" spans="1:28" ht="12.75">
      <c r="A17" s="516" t="s">
        <v>135</v>
      </c>
      <c r="B17" s="517">
        <v>19280</v>
      </c>
      <c r="C17" s="516" t="s">
        <v>91</v>
      </c>
      <c r="D17" s="517">
        <v>20400402</v>
      </c>
      <c r="E17" s="516" t="s">
        <v>973</v>
      </c>
      <c r="F17" s="517" t="s">
        <v>114</v>
      </c>
      <c r="G17" s="517">
        <v>0</v>
      </c>
      <c r="H17" s="516" t="s">
        <v>159</v>
      </c>
      <c r="I17" s="517">
        <v>72563</v>
      </c>
      <c r="J17" s="517" t="s">
        <v>986</v>
      </c>
      <c r="K17" s="517"/>
      <c r="L17" s="517" t="s">
        <v>91</v>
      </c>
      <c r="M17" s="517">
        <v>0</v>
      </c>
      <c r="N17" s="517">
        <v>0</v>
      </c>
      <c r="O17" s="517">
        <v>0</v>
      </c>
      <c r="P17" s="517">
        <v>0</v>
      </c>
      <c r="Q17" s="517" t="s">
        <v>408</v>
      </c>
      <c r="R17" s="517">
        <v>0</v>
      </c>
      <c r="S17" s="517">
        <v>0</v>
      </c>
      <c r="T17" s="517"/>
      <c r="U17" s="516"/>
      <c r="V17" s="72"/>
      <c r="W17" s="433">
        <f t="shared" si="0"/>
        <v>6.603233</v>
      </c>
      <c r="X17" s="72"/>
      <c r="Y17" s="72">
        <v>3</v>
      </c>
      <c r="Z17" s="72">
        <v>0.182</v>
      </c>
      <c r="AA17" s="72" t="s">
        <v>394</v>
      </c>
      <c r="AB17" s="72"/>
    </row>
    <row r="18" spans="1:28" ht="12.75">
      <c r="A18" s="516" t="s">
        <v>135</v>
      </c>
      <c r="B18" s="517">
        <v>19281</v>
      </c>
      <c r="C18" s="516" t="s">
        <v>91</v>
      </c>
      <c r="D18" s="517">
        <v>20400402</v>
      </c>
      <c r="E18" s="516" t="s">
        <v>974</v>
      </c>
      <c r="F18" s="517" t="s">
        <v>114</v>
      </c>
      <c r="G18" s="517">
        <v>0</v>
      </c>
      <c r="H18" s="516" t="s">
        <v>159</v>
      </c>
      <c r="I18" s="517">
        <v>39147</v>
      </c>
      <c r="J18" s="517" t="s">
        <v>986</v>
      </c>
      <c r="K18" s="517"/>
      <c r="L18" s="517" t="s">
        <v>91</v>
      </c>
      <c r="M18" s="517">
        <v>0</v>
      </c>
      <c r="N18" s="517">
        <v>0</v>
      </c>
      <c r="O18" s="517">
        <v>0</v>
      </c>
      <c r="P18" s="517">
        <v>0</v>
      </c>
      <c r="Q18" s="517" t="s">
        <v>408</v>
      </c>
      <c r="R18" s="517">
        <v>0</v>
      </c>
      <c r="S18" s="517">
        <v>0</v>
      </c>
      <c r="T18" s="517"/>
      <c r="U18" s="516"/>
      <c r="V18" s="72"/>
      <c r="W18" s="433">
        <f t="shared" si="0"/>
        <v>1.487586</v>
      </c>
      <c r="X18" s="72"/>
      <c r="Y18" s="72">
        <v>3</v>
      </c>
      <c r="Z18" s="72">
        <v>0.076</v>
      </c>
      <c r="AA18" s="72" t="s">
        <v>394</v>
      </c>
      <c r="AB18" s="72"/>
    </row>
    <row r="19" spans="1:28" ht="12.75">
      <c r="A19" s="516" t="s">
        <v>135</v>
      </c>
      <c r="B19" s="517">
        <v>19282</v>
      </c>
      <c r="C19" s="516" t="s">
        <v>91</v>
      </c>
      <c r="D19" s="517">
        <v>20400402</v>
      </c>
      <c r="E19" s="516" t="s">
        <v>975</v>
      </c>
      <c r="F19" s="517" t="s">
        <v>114</v>
      </c>
      <c r="G19" s="517">
        <v>0</v>
      </c>
      <c r="H19" s="516" t="s">
        <v>159</v>
      </c>
      <c r="I19" s="517">
        <v>368139</v>
      </c>
      <c r="J19" s="517" t="s">
        <v>986</v>
      </c>
      <c r="K19" s="517"/>
      <c r="L19" s="517" t="s">
        <v>91</v>
      </c>
      <c r="M19" s="517">
        <v>0</v>
      </c>
      <c r="N19" s="517">
        <v>0</v>
      </c>
      <c r="O19" s="517">
        <v>0</v>
      </c>
      <c r="P19" s="517">
        <v>0</v>
      </c>
      <c r="Q19" s="517" t="s">
        <v>408</v>
      </c>
      <c r="R19" s="517">
        <v>0</v>
      </c>
      <c r="S19" s="517">
        <v>0</v>
      </c>
      <c r="T19" s="517"/>
      <c r="U19" s="516"/>
      <c r="V19" s="72"/>
      <c r="W19" s="433">
        <f t="shared" si="0"/>
        <v>83.567553</v>
      </c>
      <c r="X19" s="72"/>
      <c r="Y19" s="72">
        <v>3</v>
      </c>
      <c r="Z19" s="72">
        <v>0.454</v>
      </c>
      <c r="AA19" s="72" t="s">
        <v>394</v>
      </c>
      <c r="AB19" s="72"/>
    </row>
    <row r="20" spans="1:28" ht="12.75">
      <c r="A20" s="516" t="s">
        <v>135</v>
      </c>
      <c r="B20" s="517">
        <v>19283</v>
      </c>
      <c r="C20" s="516" t="s">
        <v>91</v>
      </c>
      <c r="D20" s="517">
        <v>20400402</v>
      </c>
      <c r="E20" s="516" t="s">
        <v>976</v>
      </c>
      <c r="F20" s="517" t="s">
        <v>114</v>
      </c>
      <c r="G20" s="517">
        <v>0</v>
      </c>
      <c r="H20" s="516" t="s">
        <v>159</v>
      </c>
      <c r="I20" s="517">
        <v>770</v>
      </c>
      <c r="J20" s="517" t="s">
        <v>986</v>
      </c>
      <c r="K20" s="517"/>
      <c r="L20" s="517" t="s">
        <v>91</v>
      </c>
      <c r="M20" s="517">
        <v>0</v>
      </c>
      <c r="N20" s="517">
        <v>0</v>
      </c>
      <c r="O20" s="517">
        <v>0</v>
      </c>
      <c r="P20" s="517">
        <v>0</v>
      </c>
      <c r="Q20" s="517" t="s">
        <v>408</v>
      </c>
      <c r="R20" s="517">
        <v>0</v>
      </c>
      <c r="S20" s="517">
        <v>0</v>
      </c>
      <c r="T20" s="517"/>
      <c r="U20" s="516"/>
      <c r="V20" s="72"/>
      <c r="W20" s="433">
        <f t="shared" si="0"/>
        <v>0.025795000000000002</v>
      </c>
      <c r="X20" s="72"/>
      <c r="Y20" s="72">
        <v>3</v>
      </c>
      <c r="Z20" s="72">
        <v>0.067</v>
      </c>
      <c r="AA20" s="72" t="s">
        <v>394</v>
      </c>
      <c r="AB20" s="72"/>
    </row>
    <row r="21" spans="1:28" ht="12.75">
      <c r="A21" s="516" t="s">
        <v>135</v>
      </c>
      <c r="B21" s="517">
        <v>19284</v>
      </c>
      <c r="C21" s="516" t="s">
        <v>91</v>
      </c>
      <c r="D21" s="517">
        <v>20400402</v>
      </c>
      <c r="E21" s="516" t="s">
        <v>977</v>
      </c>
      <c r="F21" s="517" t="s">
        <v>114</v>
      </c>
      <c r="G21" s="517">
        <v>0</v>
      </c>
      <c r="H21" s="516" t="s">
        <v>159</v>
      </c>
      <c r="I21" s="517">
        <v>103525</v>
      </c>
      <c r="J21" s="517" t="s">
        <v>986</v>
      </c>
      <c r="K21" s="517"/>
      <c r="L21" s="517" t="s">
        <v>91</v>
      </c>
      <c r="M21" s="517">
        <v>0</v>
      </c>
      <c r="N21" s="517">
        <v>0</v>
      </c>
      <c r="O21" s="517">
        <v>0</v>
      </c>
      <c r="P21" s="517">
        <v>0</v>
      </c>
      <c r="Q21" s="517" t="s">
        <v>408</v>
      </c>
      <c r="R21" s="517">
        <v>0</v>
      </c>
      <c r="S21" s="517">
        <v>0</v>
      </c>
      <c r="T21" s="517"/>
      <c r="U21" s="516"/>
      <c r="V21" s="72"/>
      <c r="W21" s="433">
        <f t="shared" si="0"/>
        <v>7.4020375</v>
      </c>
      <c r="X21" s="72"/>
      <c r="Y21" s="72">
        <v>3</v>
      </c>
      <c r="Z21" s="72">
        <v>0.143</v>
      </c>
      <c r="AA21" s="72" t="s">
        <v>394</v>
      </c>
      <c r="AB21" s="72"/>
    </row>
    <row r="22" spans="1:28" ht="12.75">
      <c r="A22" s="516" t="s">
        <v>135</v>
      </c>
      <c r="B22" s="517">
        <v>19285</v>
      </c>
      <c r="C22" s="516" t="s">
        <v>91</v>
      </c>
      <c r="D22" s="517">
        <v>20400402</v>
      </c>
      <c r="E22" s="516" t="s">
        <v>966</v>
      </c>
      <c r="F22" s="517" t="s">
        <v>114</v>
      </c>
      <c r="G22" s="517">
        <v>0</v>
      </c>
      <c r="H22" s="516" t="s">
        <v>159</v>
      </c>
      <c r="I22" s="517">
        <v>13147</v>
      </c>
      <c r="J22" s="517" t="s">
        <v>986</v>
      </c>
      <c r="K22" s="517"/>
      <c r="L22" s="517" t="s">
        <v>91</v>
      </c>
      <c r="M22" s="517">
        <v>0</v>
      </c>
      <c r="N22" s="517">
        <v>0</v>
      </c>
      <c r="O22" s="517">
        <v>0</v>
      </c>
      <c r="P22" s="517">
        <v>0</v>
      </c>
      <c r="Q22" s="517" t="s">
        <v>408</v>
      </c>
      <c r="R22" s="517">
        <v>0</v>
      </c>
      <c r="S22" s="517">
        <v>0</v>
      </c>
      <c r="T22" s="517"/>
      <c r="U22" s="516"/>
      <c r="V22" s="72"/>
      <c r="W22" s="433">
        <f t="shared" si="0"/>
        <v>0.9005695</v>
      </c>
      <c r="X22" s="72"/>
      <c r="Y22" s="72">
        <v>3</v>
      </c>
      <c r="Z22" s="72">
        <v>0.137</v>
      </c>
      <c r="AA22" s="72" t="s">
        <v>394</v>
      </c>
      <c r="AB22" s="72"/>
    </row>
    <row r="23" spans="1:28" ht="12.75">
      <c r="A23" s="516" t="s">
        <v>135</v>
      </c>
      <c r="B23" s="517">
        <v>19286</v>
      </c>
      <c r="C23" s="516" t="s">
        <v>91</v>
      </c>
      <c r="D23" s="517">
        <v>20400402</v>
      </c>
      <c r="E23" s="516" t="s">
        <v>234</v>
      </c>
      <c r="F23" s="517" t="s">
        <v>114</v>
      </c>
      <c r="G23" s="517">
        <v>0</v>
      </c>
      <c r="H23" s="516" t="s">
        <v>159</v>
      </c>
      <c r="I23" s="517">
        <v>1178</v>
      </c>
      <c r="J23" s="517" t="s">
        <v>986</v>
      </c>
      <c r="K23" s="517"/>
      <c r="L23" s="517" t="s">
        <v>91</v>
      </c>
      <c r="M23" s="517">
        <v>0</v>
      </c>
      <c r="N23" s="517">
        <v>0</v>
      </c>
      <c r="O23" s="517">
        <v>0</v>
      </c>
      <c r="P23" s="517">
        <v>0</v>
      </c>
      <c r="Q23" s="517" t="s">
        <v>408</v>
      </c>
      <c r="R23" s="517">
        <v>0</v>
      </c>
      <c r="S23" s="517">
        <v>0</v>
      </c>
      <c r="T23" s="517"/>
      <c r="U23" s="516"/>
      <c r="V23" s="72"/>
      <c r="W23" s="433">
        <f t="shared" si="0"/>
        <v>0.050654</v>
      </c>
      <c r="X23" s="72"/>
      <c r="Y23" s="72">
        <v>3</v>
      </c>
      <c r="Z23" s="72">
        <v>0.086</v>
      </c>
      <c r="AA23" s="72" t="s">
        <v>394</v>
      </c>
      <c r="AB23" s="72"/>
    </row>
    <row r="24" spans="1:28" ht="12.75">
      <c r="A24" s="516" t="s">
        <v>135</v>
      </c>
      <c r="B24" s="517">
        <v>19287</v>
      </c>
      <c r="C24" s="516" t="s">
        <v>91</v>
      </c>
      <c r="D24" s="517">
        <v>20400402</v>
      </c>
      <c r="E24" s="516" t="s">
        <v>973</v>
      </c>
      <c r="F24" s="517" t="s">
        <v>114</v>
      </c>
      <c r="G24" s="517">
        <v>0</v>
      </c>
      <c r="H24" s="516" t="s">
        <v>159</v>
      </c>
      <c r="I24" s="517">
        <v>28912</v>
      </c>
      <c r="J24" s="517" t="s">
        <v>986</v>
      </c>
      <c r="K24" s="517"/>
      <c r="L24" s="517" t="s">
        <v>91</v>
      </c>
      <c r="M24" s="517">
        <v>0</v>
      </c>
      <c r="N24" s="517">
        <v>0</v>
      </c>
      <c r="O24" s="517">
        <v>0</v>
      </c>
      <c r="P24" s="517">
        <v>0</v>
      </c>
      <c r="Q24" s="517" t="s">
        <v>408</v>
      </c>
      <c r="R24" s="517">
        <v>0</v>
      </c>
      <c r="S24" s="517">
        <v>0</v>
      </c>
      <c r="T24" s="517"/>
      <c r="U24" s="516"/>
      <c r="V24" s="72"/>
      <c r="W24" s="433">
        <f t="shared" si="0"/>
        <v>2.6309919999999996</v>
      </c>
      <c r="X24" s="72"/>
      <c r="Y24" s="72">
        <v>3</v>
      </c>
      <c r="Z24" s="72">
        <v>0.182</v>
      </c>
      <c r="AA24" s="72" t="s">
        <v>394</v>
      </c>
      <c r="AB24" s="72"/>
    </row>
    <row r="25" spans="1:28" ht="12.75">
      <c r="A25" s="516" t="s">
        <v>135</v>
      </c>
      <c r="B25" s="517">
        <v>19289</v>
      </c>
      <c r="C25" s="516" t="s">
        <v>91</v>
      </c>
      <c r="D25" s="517">
        <v>20400402</v>
      </c>
      <c r="E25" s="516" t="s">
        <v>978</v>
      </c>
      <c r="F25" s="517" t="s">
        <v>114</v>
      </c>
      <c r="G25" s="517">
        <v>0</v>
      </c>
      <c r="H25" s="516" t="s">
        <v>159</v>
      </c>
      <c r="I25" s="517">
        <v>20531</v>
      </c>
      <c r="J25" s="517" t="s">
        <v>986</v>
      </c>
      <c r="K25" s="517"/>
      <c r="L25" s="517" t="s">
        <v>91</v>
      </c>
      <c r="M25" s="517">
        <v>0</v>
      </c>
      <c r="N25" s="517">
        <v>0</v>
      </c>
      <c r="O25" s="517">
        <v>0</v>
      </c>
      <c r="P25" s="517">
        <v>0</v>
      </c>
      <c r="Q25" s="517" t="s">
        <v>408</v>
      </c>
      <c r="R25" s="517">
        <v>0</v>
      </c>
      <c r="S25" s="517">
        <v>0</v>
      </c>
      <c r="T25" s="517"/>
      <c r="U25" s="516"/>
      <c r="V25" s="72"/>
      <c r="W25" s="433">
        <f t="shared" si="0"/>
        <v>4.660537000000001</v>
      </c>
      <c r="X25" s="72"/>
      <c r="Y25" s="72">
        <v>3</v>
      </c>
      <c r="Z25" s="72">
        <v>0.454</v>
      </c>
      <c r="AA25" s="72" t="s">
        <v>394</v>
      </c>
      <c r="AB25" s="72"/>
    </row>
    <row r="26" spans="1:28" ht="12.75">
      <c r="A26" s="516" t="s">
        <v>135</v>
      </c>
      <c r="B26" s="517">
        <v>19290</v>
      </c>
      <c r="C26" s="516" t="s">
        <v>91</v>
      </c>
      <c r="D26" s="517">
        <v>20400402</v>
      </c>
      <c r="E26" s="516" t="s">
        <v>977</v>
      </c>
      <c r="F26" s="517" t="s">
        <v>114</v>
      </c>
      <c r="G26" s="517">
        <v>0</v>
      </c>
      <c r="H26" s="516" t="s">
        <v>159</v>
      </c>
      <c r="I26" s="517">
        <v>29143</v>
      </c>
      <c r="J26" s="517" t="s">
        <v>986</v>
      </c>
      <c r="K26" s="517"/>
      <c r="L26" s="517" t="s">
        <v>91</v>
      </c>
      <c r="M26" s="517">
        <v>0</v>
      </c>
      <c r="N26" s="517">
        <v>0</v>
      </c>
      <c r="O26" s="517">
        <v>0</v>
      </c>
      <c r="P26" s="517">
        <v>0</v>
      </c>
      <c r="Q26" s="517" t="s">
        <v>408</v>
      </c>
      <c r="R26" s="517">
        <v>0</v>
      </c>
      <c r="S26" s="517">
        <v>0</v>
      </c>
      <c r="T26" s="517"/>
      <c r="U26" s="516"/>
      <c r="V26" s="72"/>
      <c r="W26" s="433">
        <f t="shared" si="0"/>
        <v>2.0837244999999998</v>
      </c>
      <c r="X26" s="72"/>
      <c r="Y26" s="72">
        <v>3</v>
      </c>
      <c r="Z26" s="72">
        <v>0.143</v>
      </c>
      <c r="AA26" s="72" t="s">
        <v>394</v>
      </c>
      <c r="AB26" s="72"/>
    </row>
    <row r="27" spans="1:28" ht="12.75">
      <c r="A27" s="516" t="s">
        <v>135</v>
      </c>
      <c r="B27" s="517">
        <v>19921</v>
      </c>
      <c r="C27" s="516" t="s">
        <v>91</v>
      </c>
      <c r="D27" s="517">
        <v>20400402</v>
      </c>
      <c r="E27" s="516" t="s">
        <v>976</v>
      </c>
      <c r="F27" s="517" t="s">
        <v>114</v>
      </c>
      <c r="G27" s="517">
        <v>0</v>
      </c>
      <c r="H27" s="516" t="s">
        <v>159</v>
      </c>
      <c r="I27" s="517">
        <v>766</v>
      </c>
      <c r="J27" s="517" t="s">
        <v>986</v>
      </c>
      <c r="K27" s="517"/>
      <c r="L27" s="517" t="s">
        <v>91</v>
      </c>
      <c r="M27" s="517">
        <v>0</v>
      </c>
      <c r="N27" s="517">
        <v>0</v>
      </c>
      <c r="O27" s="517">
        <v>0</v>
      </c>
      <c r="P27" s="517">
        <v>0</v>
      </c>
      <c r="Q27" s="517" t="s">
        <v>408</v>
      </c>
      <c r="R27" s="517">
        <v>0</v>
      </c>
      <c r="S27" s="517">
        <v>0</v>
      </c>
      <c r="T27" s="517"/>
      <c r="U27" s="516"/>
      <c r="V27" s="72"/>
      <c r="W27" s="433">
        <f t="shared" si="0"/>
        <v>0.025661</v>
      </c>
      <c r="X27" s="72"/>
      <c r="Y27" s="72">
        <v>3</v>
      </c>
      <c r="Z27" s="72">
        <v>0.067</v>
      </c>
      <c r="AA27" s="72" t="s">
        <v>394</v>
      </c>
      <c r="AB27" s="72"/>
    </row>
    <row r="28" spans="1:28" ht="12.75">
      <c r="A28" s="516" t="s">
        <v>202</v>
      </c>
      <c r="B28" s="517">
        <v>19922</v>
      </c>
      <c r="C28" s="516" t="s">
        <v>91</v>
      </c>
      <c r="D28" s="517">
        <v>20400402</v>
      </c>
      <c r="E28" s="516" t="s">
        <v>979</v>
      </c>
      <c r="F28" s="517" t="s">
        <v>114</v>
      </c>
      <c r="G28" s="517">
        <v>0</v>
      </c>
      <c r="H28" s="516" t="s">
        <v>159</v>
      </c>
      <c r="I28" s="517">
        <v>3137598</v>
      </c>
      <c r="J28" s="517" t="s">
        <v>987</v>
      </c>
      <c r="K28" s="72"/>
      <c r="L28" s="72"/>
      <c r="M28" s="517">
        <v>0</v>
      </c>
      <c r="N28" s="517">
        <v>0</v>
      </c>
      <c r="O28" s="517">
        <v>0</v>
      </c>
      <c r="P28" s="517">
        <v>0</v>
      </c>
      <c r="Q28" s="517" t="s">
        <v>408</v>
      </c>
      <c r="R28" s="517">
        <v>0</v>
      </c>
      <c r="S28" s="517">
        <v>0</v>
      </c>
      <c r="T28" s="517"/>
      <c r="U28" s="516"/>
      <c r="V28" s="72"/>
      <c r="W28" s="433">
        <f>Z28*I28/2000</f>
        <v>3.2944779</v>
      </c>
      <c r="X28" s="72"/>
      <c r="Y28" s="72">
        <v>3</v>
      </c>
      <c r="Z28" s="72">
        <v>0.0021</v>
      </c>
      <c r="AA28" s="72" t="s">
        <v>614</v>
      </c>
      <c r="AB28" s="72"/>
    </row>
    <row r="29" spans="1:28" ht="12.75">
      <c r="A29" s="516" t="s">
        <v>202</v>
      </c>
      <c r="B29" s="517">
        <v>19923</v>
      </c>
      <c r="C29" s="516" t="s">
        <v>91</v>
      </c>
      <c r="D29" s="517">
        <v>20400401</v>
      </c>
      <c r="E29" s="516" t="s">
        <v>980</v>
      </c>
      <c r="F29" s="517" t="s">
        <v>114</v>
      </c>
      <c r="G29" s="517">
        <v>0</v>
      </c>
      <c r="H29" s="516" t="s">
        <v>229</v>
      </c>
      <c r="I29" s="517">
        <v>23313</v>
      </c>
      <c r="J29" s="517" t="s">
        <v>987</v>
      </c>
      <c r="K29" s="72"/>
      <c r="L29" s="72"/>
      <c r="M29" s="517">
        <v>0</v>
      </c>
      <c r="N29" s="517">
        <v>0</v>
      </c>
      <c r="O29" s="517">
        <v>0</v>
      </c>
      <c r="P29" s="517">
        <v>0</v>
      </c>
      <c r="Q29" s="517" t="s">
        <v>408</v>
      </c>
      <c r="R29" s="517">
        <v>0</v>
      </c>
      <c r="S29" s="517">
        <v>0</v>
      </c>
      <c r="T29" s="517"/>
      <c r="U29" s="516"/>
      <c r="V29" s="72"/>
      <c r="W29" s="433">
        <f>Z29*I29/2000</f>
        <v>0.006877335</v>
      </c>
      <c r="X29" s="72"/>
      <c r="Y29" s="72">
        <v>3</v>
      </c>
      <c r="Z29" s="72">
        <v>0.00059</v>
      </c>
      <c r="AA29" s="72" t="s">
        <v>614</v>
      </c>
      <c r="AB29" s="72"/>
    </row>
    <row r="30" spans="22:23" ht="13.5" thickBot="1">
      <c r="V30" s="518" t="s">
        <v>412</v>
      </c>
      <c r="W30" s="519">
        <f>SUM(W9:W29)</f>
        <v>125.71753786000004</v>
      </c>
    </row>
    <row r="31" ht="13.5" thickTop="1"/>
    <row r="32" ht="12.75">
      <c r="C32" t="s">
        <v>1005</v>
      </c>
    </row>
    <row r="33" ht="12.75">
      <c r="C33" t="s">
        <v>994</v>
      </c>
    </row>
    <row r="34" ht="12.75">
      <c r="D34" t="s">
        <v>989</v>
      </c>
    </row>
    <row r="35" ht="12.75">
      <c r="C35" t="s">
        <v>990</v>
      </c>
    </row>
    <row r="36" ht="12.75">
      <c r="D36" t="s">
        <v>991</v>
      </c>
    </row>
    <row r="37" ht="12.75">
      <c r="C37" t="s">
        <v>992</v>
      </c>
    </row>
    <row r="38" ht="12.75">
      <c r="D38" t="s">
        <v>993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75" right="0.75" top="1.43" bottom="0.79" header="0.5" footer="0.36"/>
  <pageSetup horizontalDpi="600" verticalDpi="600" orientation="landscape" r:id="rId1"/>
  <headerFooter alignWithMargins="0">
    <oddHeader>&amp;L
Wasatch Constructors
Site:  I-15 Corridor Reconstruction
Site ID:  12096&amp;C&amp;"Arial,Bold"Regional Haze&amp;"Arial,Regular"
1998 Statewide SOx Sources</oddHeader>
    <oddFooter>&amp;R&amp;D
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L32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4" width="8.7109375" style="0" customWidth="1"/>
    <col min="5" max="5" width="25.00390625" style="0" customWidth="1"/>
    <col min="7" max="7" width="10.421875" style="0" customWidth="1"/>
    <col min="8" max="8" width="11.421875" style="0" customWidth="1"/>
    <col min="10" max="10" width="10.140625" style="0" customWidth="1"/>
    <col min="11" max="11" width="6.7109375" style="0" customWidth="1"/>
    <col min="12" max="12" width="8.57421875" style="0" customWidth="1"/>
    <col min="14" max="14" width="6.7109375" style="0" customWidth="1"/>
    <col min="15" max="15" width="6.421875" style="0" customWidth="1"/>
    <col min="16" max="16" width="5.421875" style="0" customWidth="1"/>
    <col min="18" max="18" width="15.8515625" style="0" customWidth="1"/>
    <col min="20" max="20" width="18.7109375" style="0" customWidth="1"/>
    <col min="22" max="22" width="9.7109375" style="0" customWidth="1"/>
    <col min="23" max="23" width="10.7109375" style="0" customWidth="1"/>
    <col min="24" max="24" width="11.7109375" style="0" customWidth="1"/>
    <col min="25" max="25" width="8.7109375" style="0" customWidth="1"/>
    <col min="27" max="27" width="10.140625" style="0" customWidth="1"/>
    <col min="28" max="28" width="15.7109375" style="0" customWidth="1"/>
    <col min="29" max="29" width="29.140625" style="0" customWidth="1"/>
  </cols>
  <sheetData>
    <row r="1" spans="1:5" ht="15.75">
      <c r="A1" s="19" t="s">
        <v>139</v>
      </c>
      <c r="B1" s="12"/>
      <c r="E1" s="2" t="s">
        <v>84</v>
      </c>
    </row>
    <row r="2" spans="1:5" ht="15">
      <c r="A2" s="12"/>
      <c r="B2" s="12"/>
      <c r="E2" s="3" t="s">
        <v>737</v>
      </c>
    </row>
    <row r="3" spans="1:3" ht="12.75">
      <c r="A3" s="12" t="s">
        <v>53</v>
      </c>
      <c r="B3" s="12" t="s">
        <v>54</v>
      </c>
      <c r="C3" s="19" t="s">
        <v>140</v>
      </c>
    </row>
    <row r="4" spans="1:2" ht="12.75">
      <c r="A4" s="18">
        <v>10311</v>
      </c>
      <c r="B4" s="12"/>
    </row>
    <row r="5" spans="1:116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</row>
    <row r="6" spans="1:116" ht="16.5" customHeight="1">
      <c r="A6" s="594" t="s">
        <v>83</v>
      </c>
      <c r="B6" s="564" t="s">
        <v>69</v>
      </c>
      <c r="C6" s="541" t="s">
        <v>677</v>
      </c>
      <c r="D6" s="564" t="s">
        <v>67</v>
      </c>
      <c r="E6" s="564" t="s">
        <v>66</v>
      </c>
      <c r="F6" s="564" t="s">
        <v>63</v>
      </c>
      <c r="G6" s="564" t="s">
        <v>64</v>
      </c>
      <c r="H6" s="564" t="s">
        <v>65</v>
      </c>
      <c r="I6" s="572" t="s">
        <v>439</v>
      </c>
      <c r="J6" s="573"/>
      <c r="K6" s="573"/>
      <c r="L6" s="573"/>
      <c r="M6" s="572" t="s">
        <v>55</v>
      </c>
      <c r="N6" s="573"/>
      <c r="O6" s="573"/>
      <c r="P6" s="573"/>
      <c r="Q6" s="564" t="s">
        <v>72</v>
      </c>
      <c r="R6" s="582" t="s">
        <v>70</v>
      </c>
      <c r="S6" s="583"/>
      <c r="T6" s="582" t="s">
        <v>71</v>
      </c>
      <c r="U6" s="583"/>
      <c r="V6" s="564" t="s">
        <v>80</v>
      </c>
      <c r="W6" s="564" t="s">
        <v>305</v>
      </c>
      <c r="X6" s="564" t="s">
        <v>74</v>
      </c>
      <c r="Y6" s="564" t="s">
        <v>76</v>
      </c>
      <c r="Z6" s="564" t="s">
        <v>77</v>
      </c>
      <c r="AA6" s="564" t="s">
        <v>78</v>
      </c>
      <c r="AB6" s="532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</row>
    <row r="7" spans="1:116" s="1" customFormat="1" ht="24.75" customHeight="1">
      <c r="A7" s="577"/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90"/>
      <c r="R7" s="535" t="s">
        <v>81</v>
      </c>
      <c r="S7" s="535" t="s">
        <v>73</v>
      </c>
      <c r="T7" s="535" t="s">
        <v>82</v>
      </c>
      <c r="U7" s="535" t="s">
        <v>73</v>
      </c>
      <c r="V7" s="567"/>
      <c r="W7" s="567"/>
      <c r="X7" s="567"/>
      <c r="Y7" s="567"/>
      <c r="Z7" s="567"/>
      <c r="AA7" s="590"/>
      <c r="AB7" s="533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</row>
    <row r="8" spans="1:116" ht="25.5" customHeight="1" thickBot="1">
      <c r="A8" s="595"/>
      <c r="B8" s="592"/>
      <c r="C8" s="592"/>
      <c r="D8" s="592"/>
      <c r="E8" s="592"/>
      <c r="F8" s="592"/>
      <c r="G8" s="592"/>
      <c r="H8" s="592"/>
      <c r="I8" s="59" t="s">
        <v>57</v>
      </c>
      <c r="J8" s="59" t="s">
        <v>58</v>
      </c>
      <c r="K8" s="59" t="s">
        <v>56</v>
      </c>
      <c r="L8" s="59" t="s">
        <v>59</v>
      </c>
      <c r="M8" s="59" t="s">
        <v>60</v>
      </c>
      <c r="N8" s="59" t="s">
        <v>59</v>
      </c>
      <c r="O8" s="59" t="s">
        <v>61</v>
      </c>
      <c r="P8" s="59" t="s">
        <v>62</v>
      </c>
      <c r="Q8" s="593"/>
      <c r="R8" s="536"/>
      <c r="S8" s="536"/>
      <c r="T8" s="593"/>
      <c r="U8" s="536"/>
      <c r="V8" s="536"/>
      <c r="W8" s="536"/>
      <c r="X8" s="536"/>
      <c r="Y8" s="536"/>
      <c r="Z8" s="536"/>
      <c r="AA8" s="593"/>
      <c r="AB8" s="53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</row>
    <row r="9" spans="1:116" ht="12.75">
      <c r="A9" s="438" t="s">
        <v>88</v>
      </c>
      <c r="B9" s="439">
        <v>2336</v>
      </c>
      <c r="C9" s="438" t="s">
        <v>141</v>
      </c>
      <c r="D9" s="439">
        <v>30599999</v>
      </c>
      <c r="E9" s="438" t="s">
        <v>142</v>
      </c>
      <c r="F9" s="439" t="s">
        <v>114</v>
      </c>
      <c r="G9" s="439">
        <v>1657</v>
      </c>
      <c r="H9" s="438" t="s">
        <v>143</v>
      </c>
      <c r="I9" s="439">
        <v>25.342</v>
      </c>
      <c r="J9" s="438" t="s">
        <v>678</v>
      </c>
      <c r="K9" s="439">
        <v>432</v>
      </c>
      <c r="L9" s="438" t="s">
        <v>739</v>
      </c>
      <c r="M9" s="439">
        <v>0</v>
      </c>
      <c r="N9" s="438" t="s">
        <v>133</v>
      </c>
      <c r="O9" s="439" t="s">
        <v>91</v>
      </c>
      <c r="P9" s="439" t="s">
        <v>91</v>
      </c>
      <c r="Q9" s="438" t="s">
        <v>92</v>
      </c>
      <c r="R9" s="440" t="s">
        <v>153</v>
      </c>
      <c r="S9" s="441">
        <v>53</v>
      </c>
      <c r="T9" s="442"/>
      <c r="U9" s="442"/>
      <c r="V9" s="442"/>
      <c r="W9" s="443">
        <f aca="true" t="shared" si="0" ref="W9:W14">Z9*I9/2000</f>
        <v>0.013051130000000001</v>
      </c>
      <c r="X9" s="439">
        <v>0</v>
      </c>
      <c r="Y9" s="439">
        <v>3</v>
      </c>
      <c r="Z9" s="439">
        <v>1.03</v>
      </c>
      <c r="AA9" s="438" t="s">
        <v>568</v>
      </c>
      <c r="AB9" s="438" t="s">
        <v>162</v>
      </c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</row>
    <row r="10" spans="1:116" ht="12.75">
      <c r="A10" s="93" t="s">
        <v>88</v>
      </c>
      <c r="B10" s="94">
        <v>4237</v>
      </c>
      <c r="C10" s="93" t="s">
        <v>144</v>
      </c>
      <c r="D10" s="94">
        <v>30100308</v>
      </c>
      <c r="E10" s="93" t="s">
        <v>145</v>
      </c>
      <c r="F10" s="94" t="s">
        <v>114</v>
      </c>
      <c r="G10" s="94">
        <v>1648</v>
      </c>
      <c r="H10" s="93" t="s">
        <v>146</v>
      </c>
      <c r="I10" s="94">
        <v>146.292</v>
      </c>
      <c r="J10" s="93" t="s">
        <v>678</v>
      </c>
      <c r="K10" s="94">
        <v>12.5</v>
      </c>
      <c r="L10" s="93" t="s">
        <v>591</v>
      </c>
      <c r="M10" s="94">
        <v>150000</v>
      </c>
      <c r="N10" s="93" t="s">
        <v>123</v>
      </c>
      <c r="O10" s="94">
        <v>1.5</v>
      </c>
      <c r="P10" s="94">
        <v>0</v>
      </c>
      <c r="Q10" s="93" t="s">
        <v>92</v>
      </c>
      <c r="R10" s="93"/>
      <c r="S10" s="93"/>
      <c r="T10" s="93"/>
      <c r="U10" s="93"/>
      <c r="V10" s="93"/>
      <c r="W10" s="349">
        <f t="shared" si="0"/>
        <v>17.225883000000003</v>
      </c>
      <c r="X10" s="94">
        <v>0</v>
      </c>
      <c r="Y10" s="94">
        <v>3</v>
      </c>
      <c r="Z10" s="94">
        <v>235.5</v>
      </c>
      <c r="AA10" s="93" t="s">
        <v>568</v>
      </c>
      <c r="AB10" s="93" t="s">
        <v>163</v>
      </c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</row>
    <row r="11" spans="1:116" ht="12.75">
      <c r="A11" s="93" t="s">
        <v>88</v>
      </c>
      <c r="B11" s="94">
        <v>7275</v>
      </c>
      <c r="C11" s="93" t="s">
        <v>147</v>
      </c>
      <c r="D11" s="94">
        <v>30590001</v>
      </c>
      <c r="E11" s="93" t="s">
        <v>148</v>
      </c>
      <c r="F11" s="94" t="s">
        <v>114</v>
      </c>
      <c r="G11" s="94">
        <v>1649</v>
      </c>
      <c r="H11" s="72" t="s">
        <v>158</v>
      </c>
      <c r="I11" s="94">
        <v>1614.502</v>
      </c>
      <c r="J11" s="93" t="s">
        <v>678</v>
      </c>
      <c r="K11" s="94">
        <v>81.2</v>
      </c>
      <c r="L11" s="93" t="s">
        <v>591</v>
      </c>
      <c r="M11" s="94">
        <v>150000</v>
      </c>
      <c r="N11" s="93" t="s">
        <v>123</v>
      </c>
      <c r="O11" s="94">
        <v>1.5</v>
      </c>
      <c r="P11" s="94">
        <v>0</v>
      </c>
      <c r="Q11" s="93" t="s">
        <v>92</v>
      </c>
      <c r="R11" s="93"/>
      <c r="S11" s="93"/>
      <c r="T11" s="93"/>
      <c r="U11" s="93"/>
      <c r="V11" s="93"/>
      <c r="W11" s="349">
        <f t="shared" si="0"/>
        <v>190.1076105</v>
      </c>
      <c r="X11" s="94">
        <v>0</v>
      </c>
      <c r="Y11" s="94">
        <v>3</v>
      </c>
      <c r="Z11" s="94">
        <v>235.5</v>
      </c>
      <c r="AA11" s="93" t="s">
        <v>568</v>
      </c>
      <c r="AB11" s="93" t="s">
        <v>163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</row>
    <row r="12" spans="1:116" ht="12.75">
      <c r="A12" s="93">
        <v>0</v>
      </c>
      <c r="B12" s="94">
        <v>8002</v>
      </c>
      <c r="C12" s="93" t="s">
        <v>149</v>
      </c>
      <c r="D12" s="94">
        <v>28888801</v>
      </c>
      <c r="E12" s="93" t="s">
        <v>150</v>
      </c>
      <c r="F12" s="94" t="s">
        <v>114</v>
      </c>
      <c r="G12" s="94">
        <v>0</v>
      </c>
      <c r="H12" s="72" t="s">
        <v>159</v>
      </c>
      <c r="I12" s="94">
        <v>2160</v>
      </c>
      <c r="J12" s="93" t="s">
        <v>445</v>
      </c>
      <c r="K12" s="94">
        <v>0</v>
      </c>
      <c r="L12" s="93" t="s">
        <v>133</v>
      </c>
      <c r="M12" s="94">
        <v>0</v>
      </c>
      <c r="N12" s="93" t="s">
        <v>133</v>
      </c>
      <c r="O12" s="94">
        <v>0</v>
      </c>
      <c r="P12" s="94">
        <v>0</v>
      </c>
      <c r="Q12" s="93" t="s">
        <v>92</v>
      </c>
      <c r="R12" s="93"/>
      <c r="S12" s="93"/>
      <c r="T12" s="93"/>
      <c r="U12" s="93"/>
      <c r="V12" s="93"/>
      <c r="W12" s="349">
        <f t="shared" si="0"/>
        <v>0.19656</v>
      </c>
      <c r="X12" s="94">
        <v>0</v>
      </c>
      <c r="Y12" s="94">
        <v>3</v>
      </c>
      <c r="Z12" s="94">
        <v>0.182</v>
      </c>
      <c r="AA12" s="93" t="s">
        <v>673</v>
      </c>
      <c r="AB12" s="93" t="s">
        <v>167</v>
      </c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</row>
    <row r="13" spans="1:116" ht="12.75">
      <c r="A13" s="93" t="s">
        <v>88</v>
      </c>
      <c r="B13" s="94">
        <v>14692</v>
      </c>
      <c r="C13" s="93" t="s">
        <v>151</v>
      </c>
      <c r="D13" s="94">
        <v>30590001</v>
      </c>
      <c r="E13" s="93" t="s">
        <v>152</v>
      </c>
      <c r="F13" s="94" t="s">
        <v>114</v>
      </c>
      <c r="G13" s="94">
        <v>0</v>
      </c>
      <c r="H13" s="93" t="s">
        <v>157</v>
      </c>
      <c r="I13" s="94">
        <v>34788</v>
      </c>
      <c r="J13" s="93" t="s">
        <v>448</v>
      </c>
      <c r="K13" s="94">
        <v>0</v>
      </c>
      <c r="L13" s="93" t="s">
        <v>133</v>
      </c>
      <c r="M13" s="94">
        <v>0</v>
      </c>
      <c r="N13" s="93" t="s">
        <v>133</v>
      </c>
      <c r="O13" s="94">
        <v>0</v>
      </c>
      <c r="P13" s="94">
        <v>0</v>
      </c>
      <c r="Q13" s="93" t="s">
        <v>92</v>
      </c>
      <c r="R13" s="93"/>
      <c r="S13" s="93"/>
      <c r="T13" s="93"/>
      <c r="U13" s="93"/>
      <c r="V13" s="93"/>
      <c r="W13" s="349">
        <f t="shared" si="0"/>
        <v>0.01791582</v>
      </c>
      <c r="X13" s="94">
        <v>0</v>
      </c>
      <c r="Y13" s="94">
        <v>3</v>
      </c>
      <c r="Z13" s="94">
        <v>0.00103</v>
      </c>
      <c r="AA13" s="93" t="s">
        <v>680</v>
      </c>
      <c r="AB13" s="93" t="s">
        <v>162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</row>
    <row r="14" spans="1:116" ht="12.75">
      <c r="A14" s="93" t="s">
        <v>202</v>
      </c>
      <c r="B14" s="94">
        <v>14693</v>
      </c>
      <c r="C14" s="93" t="s">
        <v>741</v>
      </c>
      <c r="D14" s="94">
        <v>30590001</v>
      </c>
      <c r="E14" s="93" t="s">
        <v>738</v>
      </c>
      <c r="F14" s="94" t="s">
        <v>114</v>
      </c>
      <c r="G14" s="94">
        <v>0</v>
      </c>
      <c r="H14" s="93" t="s">
        <v>122</v>
      </c>
      <c r="I14" s="94">
        <v>5512</v>
      </c>
      <c r="J14" s="93" t="s">
        <v>613</v>
      </c>
      <c r="K14" s="94">
        <v>0</v>
      </c>
      <c r="L14" s="93" t="s">
        <v>133</v>
      </c>
      <c r="M14" s="94">
        <v>135000</v>
      </c>
      <c r="N14" s="93" t="s">
        <v>123</v>
      </c>
      <c r="O14" s="94">
        <v>0.5</v>
      </c>
      <c r="P14" s="94">
        <v>0</v>
      </c>
      <c r="Q14" s="93" t="s">
        <v>92</v>
      </c>
      <c r="R14" s="93"/>
      <c r="S14" s="93"/>
      <c r="T14" s="93"/>
      <c r="U14" s="93"/>
      <c r="V14" s="93"/>
      <c r="W14" s="349">
        <f t="shared" si="0"/>
        <v>0.005649800000000001</v>
      </c>
      <c r="X14" s="94">
        <v>0</v>
      </c>
      <c r="Y14" s="94">
        <v>3</v>
      </c>
      <c r="Z14" s="94">
        <v>0.00205</v>
      </c>
      <c r="AA14" s="93" t="s">
        <v>614</v>
      </c>
      <c r="AB14" s="93" t="s">
        <v>740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</row>
    <row r="15" spans="1:116" ht="13.5" thickBot="1">
      <c r="A15" s="71"/>
      <c r="B15" s="71"/>
      <c r="C15" s="71"/>
      <c r="D15" s="71"/>
      <c r="E15" s="71"/>
      <c r="F15" s="71"/>
      <c r="G15" s="71"/>
      <c r="H15" s="20" t="s">
        <v>91</v>
      </c>
      <c r="I15" s="71"/>
      <c r="J15" s="71"/>
      <c r="K15" s="71"/>
      <c r="L15" s="71"/>
      <c r="M15" s="71"/>
      <c r="N15" s="91"/>
      <c r="O15" s="71"/>
      <c r="P15" s="71"/>
      <c r="Q15" s="71"/>
      <c r="R15" s="71"/>
      <c r="S15" s="71"/>
      <c r="T15" s="71"/>
      <c r="U15" s="92"/>
      <c r="V15" s="436" t="s">
        <v>118</v>
      </c>
      <c r="W15" s="437">
        <f>SUM(W9:W14)</f>
        <v>207.56667025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</row>
    <row r="16" spans="1:116" ht="13.5" thickTop="1">
      <c r="A16" s="71"/>
      <c r="B16" s="71"/>
      <c r="C16" s="71"/>
      <c r="D16" s="71"/>
      <c r="E16" s="71"/>
      <c r="F16" s="71"/>
      <c r="G16" s="71"/>
      <c r="H16" s="20" t="s">
        <v>91</v>
      </c>
      <c r="I16" s="71"/>
      <c r="J16" s="71"/>
      <c r="K16" s="71"/>
      <c r="L16" s="71"/>
      <c r="M16" s="71"/>
      <c r="N16" s="9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</row>
    <row r="17" spans="3:116" s="7" customFormat="1" ht="12.75">
      <c r="C17" s="61" t="s">
        <v>1002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</row>
    <row r="18" spans="3:116" s="7" customFormat="1" ht="12.75">
      <c r="C18" s="61" t="s">
        <v>681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</row>
    <row r="19" spans="3:116" s="7" customFormat="1" ht="12.75">
      <c r="C19" s="61" t="s">
        <v>682</v>
      </c>
      <c r="D19" s="61"/>
      <c r="E19" s="61"/>
      <c r="F19" s="61" t="s">
        <v>683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</row>
    <row r="20" spans="3:116" s="7" customFormat="1" ht="12.75">
      <c r="C20" s="61" t="s">
        <v>684</v>
      </c>
      <c r="D20" s="61"/>
      <c r="E20" s="61" t="s">
        <v>685</v>
      </c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</row>
    <row r="21" spans="3:116" s="7" customFormat="1" ht="14.25">
      <c r="C21" s="61"/>
      <c r="D21" s="61"/>
      <c r="E21" s="61" t="s">
        <v>164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</row>
    <row r="22" spans="3:116" s="7" customFormat="1" ht="14.25">
      <c r="C22" s="61"/>
      <c r="D22" s="61"/>
      <c r="E22" s="61" t="s">
        <v>686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</row>
    <row r="23" spans="3:116" s="7" customFormat="1" ht="14.25">
      <c r="C23" s="61"/>
      <c r="D23" s="61"/>
      <c r="E23" s="61" t="s">
        <v>165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</row>
    <row r="24" spans="3:116" s="7" customFormat="1" ht="14.25">
      <c r="C24" s="61"/>
      <c r="D24" s="61"/>
      <c r="E24" s="61" t="s">
        <v>687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</row>
    <row r="25" spans="3:116" s="7" customFormat="1" ht="12.75">
      <c r="C25" s="61"/>
      <c r="D25" s="61"/>
      <c r="E25" s="61" t="s">
        <v>166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</row>
    <row r="26" spans="3:116" s="7" customFormat="1" ht="12.75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</row>
    <row r="27" spans="3:116" s="7" customFormat="1" ht="12.75">
      <c r="C27" s="61" t="s">
        <v>742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</row>
    <row r="28" spans="1:116" s="7" customFormat="1" ht="12.7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</row>
    <row r="29" spans="1:116" s="7" customFormat="1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</row>
    <row r="30" spans="1:59" s="7" customFormat="1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</row>
    <row r="31" spans="1:59" s="7" customFormat="1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</row>
    <row r="32" spans="1:59" s="7" customFormat="1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</row>
  </sheetData>
  <mergeCells count="24">
    <mergeCell ref="U7:U8"/>
    <mergeCell ref="AB6:AB8"/>
    <mergeCell ref="X6:X8"/>
    <mergeCell ref="Y6:Y8"/>
    <mergeCell ref="Z6:Z8"/>
    <mergeCell ref="AA6:AA8"/>
    <mergeCell ref="A6:A8"/>
    <mergeCell ref="B6:B8"/>
    <mergeCell ref="C6:C8"/>
    <mergeCell ref="W6:W8"/>
    <mergeCell ref="R7:R8"/>
    <mergeCell ref="S7:S8"/>
    <mergeCell ref="T7:T8"/>
    <mergeCell ref="R6:S6"/>
    <mergeCell ref="T6:U6"/>
    <mergeCell ref="V6:V8"/>
    <mergeCell ref="D6:D8"/>
    <mergeCell ref="E6:E8"/>
    <mergeCell ref="F6:F8"/>
    <mergeCell ref="G6:G8"/>
    <mergeCell ref="H6:H8"/>
    <mergeCell ref="I6:L7"/>
    <mergeCell ref="M6:P7"/>
    <mergeCell ref="Q6:Q8"/>
  </mergeCells>
  <printOptions/>
  <pageMargins left="0.75" right="0.75" top="1.52" bottom="1" header="0.39" footer="0.5"/>
  <pageSetup horizontalDpi="600" verticalDpi="600" orientation="landscape" r:id="rId1"/>
  <headerFooter alignWithMargins="0">
    <oddHeader>&amp;L
Brush Resources Incorporated
Site Name:  Delta Mill
Site ID:  10311&amp;CRegional Haze
1998 Statewide SOx Sources</oddHeader>
    <oddFooter>&amp;R&amp;D
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466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10.00390625" style="0" customWidth="1"/>
    <col min="4" max="4" width="8.8515625" style="0" customWidth="1"/>
    <col min="5" max="5" width="28.7109375" style="0" customWidth="1"/>
    <col min="6" max="6" width="8.421875" style="0" customWidth="1"/>
    <col min="7" max="7" width="10.8515625" style="0" customWidth="1"/>
    <col min="8" max="8" width="11.140625" style="0" customWidth="1"/>
    <col min="9" max="9" width="9.57421875" style="0" bestFit="1" customWidth="1"/>
    <col min="10" max="10" width="10.57421875" style="0" customWidth="1"/>
    <col min="11" max="11" width="8.140625" style="0" customWidth="1"/>
    <col min="12" max="12" width="8.7109375" style="0" customWidth="1"/>
    <col min="15" max="15" width="7.140625" style="0" customWidth="1"/>
    <col min="16" max="16" width="6.00390625" style="0" customWidth="1"/>
    <col min="17" max="17" width="9.00390625" style="0" customWidth="1"/>
    <col min="18" max="18" width="15.57421875" style="0" customWidth="1"/>
    <col min="20" max="20" width="21.00390625" style="0" customWidth="1"/>
    <col min="22" max="22" width="9.8515625" style="0" customWidth="1"/>
    <col min="23" max="23" width="9.7109375" style="21" customWidth="1"/>
    <col min="24" max="24" width="11.7109375" style="0" customWidth="1"/>
    <col min="26" max="26" width="9.421875" style="0" customWidth="1"/>
    <col min="28" max="28" width="73.8515625" style="0" customWidth="1"/>
    <col min="30" max="30" width="23.421875" style="0" customWidth="1"/>
  </cols>
  <sheetData>
    <row r="1" spans="1:5" ht="15.75">
      <c r="A1" s="12" t="s">
        <v>224</v>
      </c>
      <c r="B1" s="12"/>
      <c r="E1" s="2" t="s">
        <v>84</v>
      </c>
    </row>
    <row r="2" spans="1:5" ht="15">
      <c r="A2" s="12"/>
      <c r="B2" s="12"/>
      <c r="E2" s="3" t="s">
        <v>737</v>
      </c>
    </row>
    <row r="3" spans="1:3" ht="12.75">
      <c r="A3" s="12" t="s">
        <v>53</v>
      </c>
      <c r="B3" s="12" t="s">
        <v>54</v>
      </c>
      <c r="C3" t="s">
        <v>168</v>
      </c>
    </row>
    <row r="4" spans="1:2" ht="12.75">
      <c r="A4" s="12">
        <v>10119</v>
      </c>
      <c r="B4" s="12"/>
    </row>
    <row r="5" spans="1:66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10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</row>
    <row r="6" spans="1:66" ht="16.5" customHeight="1">
      <c r="A6" s="558" t="s">
        <v>83</v>
      </c>
      <c r="B6" s="54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7"/>
      <c r="M6" s="576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06" t="s">
        <v>305</v>
      </c>
      <c r="X6" s="561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</row>
    <row r="7" spans="1:66" s="1" customFormat="1" ht="24.75" customHeight="1">
      <c r="A7" s="602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9"/>
      <c r="M7" s="600"/>
      <c r="N7" s="598"/>
      <c r="O7" s="598"/>
      <c r="P7" s="598"/>
      <c r="Q7" s="601"/>
      <c r="R7" s="557" t="s">
        <v>81</v>
      </c>
      <c r="S7" s="557" t="s">
        <v>73</v>
      </c>
      <c r="T7" s="557" t="s">
        <v>82</v>
      </c>
      <c r="U7" s="557" t="s">
        <v>73</v>
      </c>
      <c r="V7" s="557"/>
      <c r="W7" s="607"/>
      <c r="X7" s="605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</row>
    <row r="8" spans="1:66" ht="25.5" customHeight="1">
      <c r="A8" s="602"/>
      <c r="B8" s="598"/>
      <c r="C8" s="598"/>
      <c r="D8" s="598"/>
      <c r="E8" s="598"/>
      <c r="F8" s="598"/>
      <c r="G8" s="598"/>
      <c r="H8" s="598"/>
      <c r="I8" s="63" t="s">
        <v>57</v>
      </c>
      <c r="J8" s="63" t="s">
        <v>58</v>
      </c>
      <c r="K8" s="63" t="s">
        <v>56</v>
      </c>
      <c r="L8" s="127" t="s">
        <v>59</v>
      </c>
      <c r="M8" s="147" t="s">
        <v>60</v>
      </c>
      <c r="N8" s="63" t="s">
        <v>59</v>
      </c>
      <c r="O8" s="63" t="s">
        <v>61</v>
      </c>
      <c r="P8" s="63" t="s">
        <v>62</v>
      </c>
      <c r="Q8" s="601"/>
      <c r="R8" s="557"/>
      <c r="S8" s="557"/>
      <c r="T8" s="601"/>
      <c r="U8" s="557"/>
      <c r="V8" s="557"/>
      <c r="W8" s="607"/>
      <c r="X8" s="605"/>
      <c r="Y8" s="557"/>
      <c r="Z8" s="557"/>
      <c r="AA8" s="601"/>
      <c r="AB8" s="60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67" ht="12.75">
      <c r="A9" s="136" t="s">
        <v>88</v>
      </c>
      <c r="B9" s="106">
        <v>3874</v>
      </c>
      <c r="C9" s="105" t="s">
        <v>169</v>
      </c>
      <c r="D9" s="106">
        <v>10200701</v>
      </c>
      <c r="E9" s="105" t="s">
        <v>170</v>
      </c>
      <c r="F9" s="106" t="s">
        <v>114</v>
      </c>
      <c r="G9" s="106">
        <v>3084</v>
      </c>
      <c r="H9" s="105" t="s">
        <v>205</v>
      </c>
      <c r="I9" s="107">
        <v>627.74</v>
      </c>
      <c r="J9" s="108" t="s">
        <v>688</v>
      </c>
      <c r="K9" s="106" t="s">
        <v>91</v>
      </c>
      <c r="L9" s="140">
        <v>0</v>
      </c>
      <c r="M9" s="151">
        <v>1253</v>
      </c>
      <c r="N9" s="108" t="s">
        <v>690</v>
      </c>
      <c r="O9" s="109">
        <v>0.0007</v>
      </c>
      <c r="P9" s="106" t="s">
        <v>91</v>
      </c>
      <c r="Q9" s="105" t="s">
        <v>92</v>
      </c>
      <c r="R9" s="105"/>
      <c r="S9" s="105"/>
      <c r="T9" s="105"/>
      <c r="U9" s="105"/>
      <c r="V9" s="105"/>
      <c r="W9" s="152">
        <f>Z9*I9/2000</f>
        <v>0.3763127387862797</v>
      </c>
      <c r="X9" s="148"/>
      <c r="Y9" s="110">
        <v>5</v>
      </c>
      <c r="Z9" s="111">
        <f>(7.1*32*2)/379</f>
        <v>1.1989445910290237</v>
      </c>
      <c r="AA9" s="112" t="s">
        <v>209</v>
      </c>
      <c r="AB9" s="128" t="s">
        <v>753</v>
      </c>
      <c r="AC9" s="71"/>
      <c r="AD9" s="71"/>
      <c r="AE9" s="71">
        <v>1.2</v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</row>
    <row r="10" spans="1:67" s="28" customFormat="1" ht="12.75">
      <c r="A10" s="137">
        <v>2</v>
      </c>
      <c r="B10" s="383">
        <v>3875</v>
      </c>
      <c r="C10" s="113" t="s">
        <v>212</v>
      </c>
      <c r="D10" s="106">
        <v>10200701</v>
      </c>
      <c r="E10" s="114" t="s">
        <v>211</v>
      </c>
      <c r="F10" s="106" t="s">
        <v>114</v>
      </c>
      <c r="G10" s="106">
        <v>3084</v>
      </c>
      <c r="H10" s="115" t="s">
        <v>158</v>
      </c>
      <c r="I10" s="116">
        <f>235*42</f>
        <v>9870</v>
      </c>
      <c r="J10" s="117" t="s">
        <v>653</v>
      </c>
      <c r="K10" s="117">
        <v>111.6</v>
      </c>
      <c r="L10" s="141" t="s">
        <v>591</v>
      </c>
      <c r="M10" s="153">
        <v>6000000</v>
      </c>
      <c r="N10" s="117" t="s">
        <v>691</v>
      </c>
      <c r="O10" s="118">
        <v>0.995</v>
      </c>
      <c r="P10" s="119"/>
      <c r="Q10" s="115" t="s">
        <v>92</v>
      </c>
      <c r="R10" s="119"/>
      <c r="S10" s="119"/>
      <c r="T10" s="119"/>
      <c r="U10" s="119"/>
      <c r="V10" s="119"/>
      <c r="W10" s="154">
        <f>Z10*(I10/1000)/2000</f>
        <v>0.622005426</v>
      </c>
      <c r="X10" s="149"/>
      <c r="Y10" s="117">
        <v>3</v>
      </c>
      <c r="Z10" s="120">
        <f>157*(0.8028)</f>
        <v>126.0396</v>
      </c>
      <c r="AA10" s="117" t="s">
        <v>209</v>
      </c>
      <c r="AB10" s="129" t="s">
        <v>755</v>
      </c>
      <c r="AC10" s="449" t="s">
        <v>754</v>
      </c>
      <c r="AD10" s="26"/>
      <c r="AE10" s="23"/>
      <c r="AF10" s="25"/>
      <c r="AG10" s="26"/>
      <c r="AH10" s="23"/>
      <c r="AI10" s="24"/>
      <c r="AJ10" s="24"/>
      <c r="AK10" s="24"/>
      <c r="AL10" s="24"/>
      <c r="AM10" s="24"/>
      <c r="AN10" s="27"/>
      <c r="AO10" s="27"/>
      <c r="AP10" s="27"/>
      <c r="AQ10" s="27"/>
      <c r="AR10" s="27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</row>
    <row r="11" spans="1:67" ht="25.5">
      <c r="A11" s="136" t="s">
        <v>88</v>
      </c>
      <c r="B11" s="106">
        <v>3876</v>
      </c>
      <c r="C11" s="105" t="s">
        <v>171</v>
      </c>
      <c r="D11" s="106">
        <v>10200701</v>
      </c>
      <c r="E11" s="105" t="s">
        <v>172</v>
      </c>
      <c r="F11" s="106" t="s">
        <v>114</v>
      </c>
      <c r="G11" s="106">
        <v>3085</v>
      </c>
      <c r="H11" s="105" t="s">
        <v>205</v>
      </c>
      <c r="I11" s="107">
        <v>512.246</v>
      </c>
      <c r="J11" s="108" t="s">
        <v>688</v>
      </c>
      <c r="K11" s="106" t="s">
        <v>91</v>
      </c>
      <c r="L11" s="140">
        <v>0</v>
      </c>
      <c r="M11" s="151">
        <v>1189</v>
      </c>
      <c r="N11" s="108" t="s">
        <v>690</v>
      </c>
      <c r="O11" s="109">
        <v>0.0007</v>
      </c>
      <c r="P11" s="106" t="s">
        <v>91</v>
      </c>
      <c r="Q11" s="105" t="s">
        <v>92</v>
      </c>
      <c r="R11" s="105"/>
      <c r="S11" s="105"/>
      <c r="T11" s="105"/>
      <c r="U11" s="105"/>
      <c r="V11" s="105"/>
      <c r="W11" s="152">
        <f>Z11*I11/2000</f>
        <v>0.30707728548812663</v>
      </c>
      <c r="X11" s="148"/>
      <c r="Y11" s="106">
        <v>5</v>
      </c>
      <c r="Z11" s="121">
        <f>(7.1*32*2)/379</f>
        <v>1.1989445910290237</v>
      </c>
      <c r="AA11" s="106" t="s">
        <v>209</v>
      </c>
      <c r="AB11" s="130" t="s">
        <v>756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</row>
    <row r="12" spans="1:67" ht="25.5">
      <c r="A12" s="136">
        <v>2</v>
      </c>
      <c r="B12" s="106">
        <v>3877</v>
      </c>
      <c r="C12" s="113" t="s">
        <v>214</v>
      </c>
      <c r="D12" s="106">
        <v>10200701</v>
      </c>
      <c r="E12" s="114" t="s">
        <v>213</v>
      </c>
      <c r="F12" s="106" t="s">
        <v>114</v>
      </c>
      <c r="G12" s="106">
        <v>3085</v>
      </c>
      <c r="H12" s="115" t="s">
        <v>158</v>
      </c>
      <c r="I12" s="116">
        <f>235*42</f>
        <v>9870</v>
      </c>
      <c r="J12" s="117" t="s">
        <v>653</v>
      </c>
      <c r="K12" s="106">
        <v>108</v>
      </c>
      <c r="L12" s="142" t="s">
        <v>591</v>
      </c>
      <c r="M12" s="151">
        <v>6000000</v>
      </c>
      <c r="N12" s="108" t="s">
        <v>691</v>
      </c>
      <c r="O12" s="109">
        <v>0.995</v>
      </c>
      <c r="P12" s="106"/>
      <c r="Q12" s="105" t="s">
        <v>92</v>
      </c>
      <c r="R12" s="105"/>
      <c r="S12" s="105"/>
      <c r="T12" s="105"/>
      <c r="U12" s="105"/>
      <c r="V12" s="105"/>
      <c r="W12" s="152">
        <f>Z12*(I12)/1000/2000</f>
        <v>0.622005426</v>
      </c>
      <c r="X12" s="148"/>
      <c r="Y12" s="106">
        <v>3</v>
      </c>
      <c r="Z12" s="121">
        <f>157*0.8028</f>
        <v>126.0396</v>
      </c>
      <c r="AA12" s="106" t="s">
        <v>209</v>
      </c>
      <c r="AB12" s="130" t="s">
        <v>757</v>
      </c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</row>
    <row r="13" spans="1:67" ht="12.75">
      <c r="A13" s="138" t="s">
        <v>88</v>
      </c>
      <c r="B13" s="125">
        <v>3878</v>
      </c>
      <c r="C13" s="124" t="s">
        <v>173</v>
      </c>
      <c r="D13" s="125">
        <v>30600106</v>
      </c>
      <c r="E13" s="124" t="s">
        <v>174</v>
      </c>
      <c r="F13" s="125" t="s">
        <v>114</v>
      </c>
      <c r="G13" s="125">
        <v>3086</v>
      </c>
      <c r="H13" s="124" t="s">
        <v>205</v>
      </c>
      <c r="I13" s="125">
        <v>968.551</v>
      </c>
      <c r="J13" s="125" t="s">
        <v>688</v>
      </c>
      <c r="K13" s="125" t="s">
        <v>91</v>
      </c>
      <c r="L13" s="144">
        <v>0</v>
      </c>
      <c r="M13" s="155">
        <v>1189</v>
      </c>
      <c r="N13" s="125" t="s">
        <v>690</v>
      </c>
      <c r="O13" s="126">
        <v>0.00138</v>
      </c>
      <c r="P13" s="125" t="s">
        <v>91</v>
      </c>
      <c r="Q13" s="124" t="s">
        <v>92</v>
      </c>
      <c r="R13" s="124"/>
      <c r="S13" s="124"/>
      <c r="T13" s="124"/>
      <c r="U13" s="124"/>
      <c r="V13" s="124"/>
      <c r="W13" s="152">
        <f>Z13*I13/2000</f>
        <v>0.5806194912928759</v>
      </c>
      <c r="X13" s="148"/>
      <c r="Y13" s="125">
        <v>3</v>
      </c>
      <c r="Z13" s="266">
        <f>(7.1*32*2/379)</f>
        <v>1.1989445910290237</v>
      </c>
      <c r="AA13" s="125" t="s">
        <v>209</v>
      </c>
      <c r="AB13" s="130" t="s">
        <v>756</v>
      </c>
      <c r="AC13" s="104"/>
      <c r="AD13" s="104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</row>
    <row r="14" spans="1:67" ht="12.75">
      <c r="A14" s="138" t="s">
        <v>88</v>
      </c>
      <c r="B14" s="125">
        <v>3886</v>
      </c>
      <c r="C14" s="124" t="s">
        <v>175</v>
      </c>
      <c r="D14" s="125">
        <v>30600106</v>
      </c>
      <c r="E14" s="124" t="s">
        <v>176</v>
      </c>
      <c r="F14" s="125" t="s">
        <v>114</v>
      </c>
      <c r="G14" s="125">
        <v>3090</v>
      </c>
      <c r="H14" s="124" t="s">
        <v>205</v>
      </c>
      <c r="I14" s="125">
        <v>64.364</v>
      </c>
      <c r="J14" s="125" t="s">
        <v>688</v>
      </c>
      <c r="K14" s="125" t="s">
        <v>91</v>
      </c>
      <c r="L14" s="144">
        <v>0</v>
      </c>
      <c r="M14" s="155">
        <v>1189</v>
      </c>
      <c r="N14" s="125" t="s">
        <v>690</v>
      </c>
      <c r="O14" s="126">
        <v>0.00138</v>
      </c>
      <c r="P14" s="125" t="s">
        <v>91</v>
      </c>
      <c r="Q14" s="124" t="s">
        <v>92</v>
      </c>
      <c r="R14" s="124"/>
      <c r="S14" s="124"/>
      <c r="T14" s="124"/>
      <c r="U14" s="124"/>
      <c r="V14" s="124"/>
      <c r="W14" s="152">
        <f>Z14*I14/2000</f>
        <v>0.03858443482849604</v>
      </c>
      <c r="X14" s="148"/>
      <c r="Y14" s="125">
        <v>3</v>
      </c>
      <c r="Z14" s="266">
        <f>(7.1*32*2/379)</f>
        <v>1.1989445910290237</v>
      </c>
      <c r="AA14" s="125" t="s">
        <v>209</v>
      </c>
      <c r="AB14" s="130" t="s">
        <v>756</v>
      </c>
      <c r="AC14" s="104"/>
      <c r="AD14" s="104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</row>
    <row r="15" spans="1:67" ht="12.75">
      <c r="A15" s="138" t="s">
        <v>88</v>
      </c>
      <c r="B15" s="125">
        <v>3887</v>
      </c>
      <c r="C15" s="124" t="s">
        <v>177</v>
      </c>
      <c r="D15" s="125">
        <v>30600106</v>
      </c>
      <c r="E15" s="124" t="s">
        <v>178</v>
      </c>
      <c r="F15" s="125" t="s">
        <v>114</v>
      </c>
      <c r="G15" s="125">
        <v>3091</v>
      </c>
      <c r="H15" s="124" t="s">
        <v>205</v>
      </c>
      <c r="I15" s="125">
        <v>172.955</v>
      </c>
      <c r="J15" s="125" t="s">
        <v>688</v>
      </c>
      <c r="K15" s="125" t="s">
        <v>91</v>
      </c>
      <c r="L15" s="144">
        <v>0</v>
      </c>
      <c r="M15" s="155">
        <v>1189</v>
      </c>
      <c r="N15" s="125" t="s">
        <v>690</v>
      </c>
      <c r="O15" s="126">
        <v>0.00138</v>
      </c>
      <c r="P15" s="125" t="s">
        <v>91</v>
      </c>
      <c r="Q15" s="124" t="s">
        <v>92</v>
      </c>
      <c r="R15" s="124"/>
      <c r="S15" s="124"/>
      <c r="T15" s="124"/>
      <c r="U15" s="124"/>
      <c r="V15" s="124"/>
      <c r="W15" s="152">
        <f>Z15*I15/2000</f>
        <v>0.10368173087071242</v>
      </c>
      <c r="X15" s="148"/>
      <c r="Y15" s="125">
        <v>3</v>
      </c>
      <c r="Z15" s="266">
        <f>(7.1*32*2)/379</f>
        <v>1.1989445910290237</v>
      </c>
      <c r="AA15" s="125" t="s">
        <v>209</v>
      </c>
      <c r="AB15" s="130" t="s">
        <v>756</v>
      </c>
      <c r="AC15" s="104"/>
      <c r="AD15" s="104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</row>
    <row r="16" spans="1:67" ht="12.75">
      <c r="A16" s="138" t="s">
        <v>88</v>
      </c>
      <c r="B16" s="125">
        <v>3888</v>
      </c>
      <c r="C16" s="124" t="s">
        <v>179</v>
      </c>
      <c r="D16" s="125">
        <v>30600201</v>
      </c>
      <c r="E16" s="124" t="s">
        <v>180</v>
      </c>
      <c r="F16" s="125" t="s">
        <v>114</v>
      </c>
      <c r="G16" s="125">
        <v>3092</v>
      </c>
      <c r="H16" s="124" t="s">
        <v>205</v>
      </c>
      <c r="I16" s="125">
        <f>24*365</f>
        <v>8760</v>
      </c>
      <c r="J16" s="125" t="s">
        <v>708</v>
      </c>
      <c r="K16" s="125" t="s">
        <v>91</v>
      </c>
      <c r="L16" s="144">
        <v>0</v>
      </c>
      <c r="M16" s="155">
        <v>1189</v>
      </c>
      <c r="N16" s="125" t="s">
        <v>690</v>
      </c>
      <c r="O16" s="126">
        <v>0.00138</v>
      </c>
      <c r="P16" s="125" t="s">
        <v>91</v>
      </c>
      <c r="Q16" s="124" t="s">
        <v>92</v>
      </c>
      <c r="R16" s="124"/>
      <c r="S16" s="124"/>
      <c r="T16" s="124"/>
      <c r="U16" s="124"/>
      <c r="V16" s="124"/>
      <c r="W16" s="152">
        <f>Z16*I16/2000</f>
        <v>337.698</v>
      </c>
      <c r="X16" s="148"/>
      <c r="Y16" s="125">
        <v>1</v>
      </c>
      <c r="Z16" s="125">
        <v>77.1</v>
      </c>
      <c r="AA16" s="125" t="s">
        <v>394</v>
      </c>
      <c r="AB16" s="130" t="s">
        <v>216</v>
      </c>
      <c r="AC16" s="104"/>
      <c r="AD16" s="104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</row>
    <row r="17" spans="1:67" ht="12.75">
      <c r="A17" s="138" t="s">
        <v>88</v>
      </c>
      <c r="B17" s="125">
        <v>3889</v>
      </c>
      <c r="C17" s="124" t="s">
        <v>181</v>
      </c>
      <c r="D17" s="125">
        <v>30600904</v>
      </c>
      <c r="E17" s="124" t="s">
        <v>182</v>
      </c>
      <c r="F17" s="125" t="s">
        <v>114</v>
      </c>
      <c r="G17" s="125">
        <v>3093</v>
      </c>
      <c r="H17" s="124" t="s">
        <v>193</v>
      </c>
      <c r="I17" s="123">
        <f>(39.585*365)/3</f>
        <v>4816.175</v>
      </c>
      <c r="J17" s="125" t="s">
        <v>689</v>
      </c>
      <c r="K17" s="125" t="s">
        <v>91</v>
      </c>
      <c r="L17" s="144">
        <v>0</v>
      </c>
      <c r="M17" s="155" t="s">
        <v>91</v>
      </c>
      <c r="N17" s="125"/>
      <c r="O17" s="126" t="s">
        <v>91</v>
      </c>
      <c r="P17" s="125" t="s">
        <v>91</v>
      </c>
      <c r="Q17" s="124" t="s">
        <v>92</v>
      </c>
      <c r="R17" s="124" t="s">
        <v>208</v>
      </c>
      <c r="S17" s="124">
        <v>23</v>
      </c>
      <c r="T17" s="124"/>
      <c r="U17" s="124"/>
      <c r="V17" s="124"/>
      <c r="W17" s="152">
        <f>(Z17*I17/2000)</f>
        <v>64.77755375</v>
      </c>
      <c r="X17" s="148"/>
      <c r="Y17" s="125">
        <v>3</v>
      </c>
      <c r="Z17" s="125">
        <v>26.9</v>
      </c>
      <c r="AA17" s="125" t="s">
        <v>210</v>
      </c>
      <c r="AB17" s="131" t="s">
        <v>692</v>
      </c>
      <c r="AC17" s="104"/>
      <c r="AD17" s="104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</row>
    <row r="18" spans="1:67" ht="12.75">
      <c r="A18" s="138" t="s">
        <v>88</v>
      </c>
      <c r="B18" s="125">
        <v>3890</v>
      </c>
      <c r="C18" s="124" t="s">
        <v>101</v>
      </c>
      <c r="D18" s="125">
        <v>30600106</v>
      </c>
      <c r="E18" s="124" t="s">
        <v>183</v>
      </c>
      <c r="F18" s="125" t="s">
        <v>114</v>
      </c>
      <c r="G18" s="125">
        <v>3094</v>
      </c>
      <c r="H18" s="124" t="s">
        <v>205</v>
      </c>
      <c r="I18" s="125">
        <v>159.492</v>
      </c>
      <c r="J18" s="125" t="s">
        <v>688</v>
      </c>
      <c r="K18" s="125" t="s">
        <v>91</v>
      </c>
      <c r="L18" s="144">
        <v>0</v>
      </c>
      <c r="M18" s="155">
        <v>1189</v>
      </c>
      <c r="N18" s="125" t="s">
        <v>690</v>
      </c>
      <c r="O18" s="126">
        <v>0.00138</v>
      </c>
      <c r="P18" s="125" t="s">
        <v>91</v>
      </c>
      <c r="Q18" s="124" t="s">
        <v>92</v>
      </c>
      <c r="R18" s="124"/>
      <c r="S18" s="124"/>
      <c r="T18" s="124"/>
      <c r="U18" s="124"/>
      <c r="V18" s="124"/>
      <c r="W18" s="152">
        <f aca="true" t="shared" si="0" ref="W18:W28">Z18*I18/2000</f>
        <v>0.09561103535620051</v>
      </c>
      <c r="X18" s="148"/>
      <c r="Y18" s="125">
        <v>3</v>
      </c>
      <c r="Z18" s="125">
        <f>(7.1*32*2)/379</f>
        <v>1.1989445910290237</v>
      </c>
      <c r="AA18" s="125" t="s">
        <v>209</v>
      </c>
      <c r="AB18" s="130" t="s">
        <v>756</v>
      </c>
      <c r="AC18" s="104"/>
      <c r="AD18" s="104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</row>
    <row r="19" spans="1:67" ht="12.75">
      <c r="A19" s="138">
        <v>0</v>
      </c>
      <c r="B19" s="125">
        <v>3891</v>
      </c>
      <c r="C19" s="124" t="s">
        <v>111</v>
      </c>
      <c r="D19" s="125">
        <v>30600106</v>
      </c>
      <c r="E19" s="124" t="s">
        <v>184</v>
      </c>
      <c r="F19" s="125" t="s">
        <v>114</v>
      </c>
      <c r="G19" s="125">
        <v>3095</v>
      </c>
      <c r="H19" s="124" t="s">
        <v>205</v>
      </c>
      <c r="I19" s="125">
        <v>218.374</v>
      </c>
      <c r="J19" s="125" t="s">
        <v>688</v>
      </c>
      <c r="K19" s="125" t="s">
        <v>91</v>
      </c>
      <c r="L19" s="144">
        <v>0</v>
      </c>
      <c r="M19" s="155">
        <v>1189</v>
      </c>
      <c r="N19" s="125" t="s">
        <v>690</v>
      </c>
      <c r="O19" s="126">
        <v>0.00138</v>
      </c>
      <c r="P19" s="125" t="s">
        <v>91</v>
      </c>
      <c r="Q19" s="124" t="s">
        <v>92</v>
      </c>
      <c r="R19" s="124"/>
      <c r="S19" s="124"/>
      <c r="T19" s="124"/>
      <c r="U19" s="124"/>
      <c r="V19" s="124"/>
      <c r="W19" s="152">
        <f t="shared" si="0"/>
        <v>0.130909163060686</v>
      </c>
      <c r="X19" s="148"/>
      <c r="Y19" s="125">
        <v>3</v>
      </c>
      <c r="Z19" s="125">
        <f>(7.1*32*2)/379</f>
        <v>1.1989445910290237</v>
      </c>
      <c r="AA19" s="125" t="s">
        <v>209</v>
      </c>
      <c r="AB19" s="130" t="s">
        <v>756</v>
      </c>
      <c r="AC19" s="104"/>
      <c r="AD19" s="104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</row>
    <row r="20" spans="1:67" ht="12.75">
      <c r="A20" s="138" t="s">
        <v>88</v>
      </c>
      <c r="B20" s="125">
        <v>3892</v>
      </c>
      <c r="C20" s="124" t="s">
        <v>185</v>
      </c>
      <c r="D20" s="125">
        <v>30600106</v>
      </c>
      <c r="E20" s="124" t="s">
        <v>186</v>
      </c>
      <c r="F20" s="125" t="s">
        <v>114</v>
      </c>
      <c r="G20" s="125">
        <v>3096</v>
      </c>
      <c r="H20" s="124" t="s">
        <v>205</v>
      </c>
      <c r="I20" s="125">
        <v>212.958</v>
      </c>
      <c r="J20" s="125" t="s">
        <v>688</v>
      </c>
      <c r="K20" s="125" t="s">
        <v>91</v>
      </c>
      <c r="L20" s="144">
        <v>0</v>
      </c>
      <c r="M20" s="155">
        <v>1189</v>
      </c>
      <c r="N20" s="125" t="s">
        <v>690</v>
      </c>
      <c r="O20" s="126">
        <v>0.00138</v>
      </c>
      <c r="P20" s="125" t="s">
        <v>91</v>
      </c>
      <c r="Q20" s="124" t="s">
        <v>92</v>
      </c>
      <c r="R20" s="124"/>
      <c r="S20" s="124"/>
      <c r="T20" s="124"/>
      <c r="U20" s="124"/>
      <c r="V20" s="124"/>
      <c r="W20" s="152">
        <f t="shared" si="0"/>
        <v>0.1276624211081794</v>
      </c>
      <c r="X20" s="148"/>
      <c r="Y20" s="125">
        <v>3</v>
      </c>
      <c r="Z20" s="125">
        <f>(7.1*32*2)/379</f>
        <v>1.1989445910290237</v>
      </c>
      <c r="AA20" s="125" t="s">
        <v>209</v>
      </c>
      <c r="AB20" s="130" t="s">
        <v>756</v>
      </c>
      <c r="AC20" s="104"/>
      <c r="AD20" s="104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</row>
    <row r="21" spans="1:67" ht="12.75">
      <c r="A21" s="138" t="s">
        <v>88</v>
      </c>
      <c r="B21" s="125">
        <v>3893</v>
      </c>
      <c r="C21" s="124" t="s">
        <v>187</v>
      </c>
      <c r="D21" s="125">
        <v>30600106</v>
      </c>
      <c r="E21" s="124" t="s">
        <v>188</v>
      </c>
      <c r="F21" s="125" t="s">
        <v>114</v>
      </c>
      <c r="G21" s="125">
        <v>3097</v>
      </c>
      <c r="H21" s="124" t="s">
        <v>205</v>
      </c>
      <c r="I21" s="125">
        <v>106.885</v>
      </c>
      <c r="J21" s="125" t="s">
        <v>688</v>
      </c>
      <c r="K21" s="125" t="s">
        <v>91</v>
      </c>
      <c r="L21" s="144">
        <v>0</v>
      </c>
      <c r="M21" s="155">
        <v>1189</v>
      </c>
      <c r="N21" s="125" t="s">
        <v>690</v>
      </c>
      <c r="O21" s="126">
        <v>0.00138</v>
      </c>
      <c r="P21" s="125" t="s">
        <v>91</v>
      </c>
      <c r="Q21" s="124" t="s">
        <v>92</v>
      </c>
      <c r="R21" s="124"/>
      <c r="S21" s="124"/>
      <c r="T21" s="124"/>
      <c r="U21" s="124"/>
      <c r="V21" s="124"/>
      <c r="W21" s="152">
        <f t="shared" si="0"/>
        <v>0.0640745963060686</v>
      </c>
      <c r="X21" s="148"/>
      <c r="Y21" s="125">
        <v>3</v>
      </c>
      <c r="Z21" s="125">
        <f>(7.1*32*2)/379</f>
        <v>1.1989445910290237</v>
      </c>
      <c r="AA21" s="125" t="s">
        <v>209</v>
      </c>
      <c r="AB21" s="130" t="s">
        <v>756</v>
      </c>
      <c r="AC21" s="104"/>
      <c r="AD21" s="104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</row>
    <row r="22" spans="1:67" ht="12.75">
      <c r="A22" s="138" t="s">
        <v>88</v>
      </c>
      <c r="B22" s="125">
        <v>3894</v>
      </c>
      <c r="C22" s="124" t="s">
        <v>189</v>
      </c>
      <c r="D22" s="125">
        <v>30600106</v>
      </c>
      <c r="E22" s="124" t="s">
        <v>190</v>
      </c>
      <c r="F22" s="125" t="s">
        <v>114</v>
      </c>
      <c r="G22" s="125">
        <v>3098</v>
      </c>
      <c r="H22" s="124" t="s">
        <v>205</v>
      </c>
      <c r="I22" s="125">
        <v>522.746</v>
      </c>
      <c r="J22" s="125" t="s">
        <v>688</v>
      </c>
      <c r="K22" s="125" t="s">
        <v>91</v>
      </c>
      <c r="L22" s="144">
        <v>0</v>
      </c>
      <c r="M22" s="155">
        <v>1189</v>
      </c>
      <c r="N22" s="125" t="s">
        <v>690</v>
      </c>
      <c r="O22" s="126">
        <v>0.00138</v>
      </c>
      <c r="P22" s="125" t="s">
        <v>91</v>
      </c>
      <c r="Q22" s="124" t="s">
        <v>92</v>
      </c>
      <c r="R22" s="124"/>
      <c r="S22" s="124"/>
      <c r="T22" s="124"/>
      <c r="U22" s="124"/>
      <c r="V22" s="124"/>
      <c r="W22" s="152">
        <f t="shared" si="0"/>
        <v>0.313371744591029</v>
      </c>
      <c r="X22" s="148"/>
      <c r="Y22" s="125">
        <v>3</v>
      </c>
      <c r="Z22" s="125">
        <f>(7.1*32*2)/379</f>
        <v>1.1989445910290237</v>
      </c>
      <c r="AA22" s="125" t="s">
        <v>209</v>
      </c>
      <c r="AB22" s="130" t="s">
        <v>756</v>
      </c>
      <c r="AC22" s="104"/>
      <c r="AD22" s="104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</row>
    <row r="23" spans="1:67" ht="12.75">
      <c r="A23" s="138" t="s">
        <v>88</v>
      </c>
      <c r="B23" s="125">
        <v>3895</v>
      </c>
      <c r="C23" s="124" t="s">
        <v>218</v>
      </c>
      <c r="D23" s="125">
        <v>30600106</v>
      </c>
      <c r="E23" s="124" t="s">
        <v>219</v>
      </c>
      <c r="F23" s="125" t="s">
        <v>114</v>
      </c>
      <c r="G23" s="125">
        <v>3098</v>
      </c>
      <c r="H23" s="124" t="s">
        <v>220</v>
      </c>
      <c r="I23" s="125">
        <f>1775*42/1000</f>
        <v>74.55</v>
      </c>
      <c r="J23" s="125" t="s">
        <v>760</v>
      </c>
      <c r="K23" s="125"/>
      <c r="L23" s="144"/>
      <c r="M23" s="155">
        <v>6000000</v>
      </c>
      <c r="N23" s="125" t="s">
        <v>691</v>
      </c>
      <c r="O23" s="126">
        <v>0.00138</v>
      </c>
      <c r="P23" s="125"/>
      <c r="Q23" s="124" t="s">
        <v>92</v>
      </c>
      <c r="R23" s="124"/>
      <c r="S23" s="124"/>
      <c r="T23" s="124"/>
      <c r="U23" s="124"/>
      <c r="V23" s="124"/>
      <c r="W23" s="152">
        <f t="shared" si="0"/>
        <v>0.5852175</v>
      </c>
      <c r="X23" s="148"/>
      <c r="Y23" s="125">
        <v>3</v>
      </c>
      <c r="Z23" s="125">
        <f>157*0.1</f>
        <v>15.700000000000001</v>
      </c>
      <c r="AA23" s="125" t="s">
        <v>759</v>
      </c>
      <c r="AB23" s="129" t="s">
        <v>758</v>
      </c>
      <c r="AC23" s="104"/>
      <c r="AD23" s="104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</row>
    <row r="24" spans="1:67" ht="12.75">
      <c r="A24" s="138" t="s">
        <v>88</v>
      </c>
      <c r="B24" s="125">
        <v>3896</v>
      </c>
      <c r="C24" s="124" t="s">
        <v>191</v>
      </c>
      <c r="D24" s="125">
        <v>30600904</v>
      </c>
      <c r="E24" s="124" t="s">
        <v>192</v>
      </c>
      <c r="F24" s="125" t="s">
        <v>114</v>
      </c>
      <c r="G24" s="125">
        <v>3099</v>
      </c>
      <c r="H24" s="124" t="s">
        <v>217</v>
      </c>
      <c r="I24" s="125">
        <f>(39.585*365)/3</f>
        <v>4816.175</v>
      </c>
      <c r="J24" s="125" t="s">
        <v>689</v>
      </c>
      <c r="K24" s="125" t="s">
        <v>91</v>
      </c>
      <c r="L24" s="144">
        <v>0</v>
      </c>
      <c r="M24" s="155" t="s">
        <v>91</v>
      </c>
      <c r="N24" s="125"/>
      <c r="O24" s="126" t="s">
        <v>91</v>
      </c>
      <c r="P24" s="125" t="s">
        <v>91</v>
      </c>
      <c r="Q24" s="124" t="s">
        <v>92</v>
      </c>
      <c r="R24" s="124" t="s">
        <v>208</v>
      </c>
      <c r="S24" s="124">
        <v>23</v>
      </c>
      <c r="T24" s="124"/>
      <c r="U24" s="124"/>
      <c r="V24" s="124"/>
      <c r="W24" s="152">
        <f t="shared" si="0"/>
        <v>64.77755375</v>
      </c>
      <c r="X24" s="148"/>
      <c r="Y24" s="125">
        <v>3</v>
      </c>
      <c r="Z24" s="125">
        <v>26.9</v>
      </c>
      <c r="AA24" s="125" t="s">
        <v>210</v>
      </c>
      <c r="AB24" s="131" t="s">
        <v>692</v>
      </c>
      <c r="AC24" s="104"/>
      <c r="AD24" s="104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</row>
    <row r="25" spans="1:67" ht="12.75">
      <c r="A25" s="138" t="s">
        <v>88</v>
      </c>
      <c r="B25" s="125">
        <v>3897</v>
      </c>
      <c r="C25" s="124" t="s">
        <v>194</v>
      </c>
      <c r="D25" s="125">
        <v>30600106</v>
      </c>
      <c r="E25" s="124" t="s">
        <v>195</v>
      </c>
      <c r="F25" s="125" t="s">
        <v>114</v>
      </c>
      <c r="G25" s="125">
        <v>3100</v>
      </c>
      <c r="H25" s="124" t="s">
        <v>205</v>
      </c>
      <c r="I25" s="125">
        <v>245.108</v>
      </c>
      <c r="J25" s="125" t="s">
        <v>688</v>
      </c>
      <c r="K25" s="125" t="s">
        <v>91</v>
      </c>
      <c r="L25" s="144">
        <v>0</v>
      </c>
      <c r="M25" s="155">
        <v>1189</v>
      </c>
      <c r="N25" s="125" t="s">
        <v>690</v>
      </c>
      <c r="O25" s="126">
        <v>0.00138</v>
      </c>
      <c r="P25" s="125" t="s">
        <v>91</v>
      </c>
      <c r="Q25" s="124" t="s">
        <v>92</v>
      </c>
      <c r="R25" s="124"/>
      <c r="S25" s="124"/>
      <c r="T25" s="124"/>
      <c r="U25" s="124"/>
      <c r="V25" s="124"/>
      <c r="W25" s="152">
        <f t="shared" si="0"/>
        <v>0.14693545540897096</v>
      </c>
      <c r="X25" s="148"/>
      <c r="Y25" s="125">
        <v>3</v>
      </c>
      <c r="Z25" s="125">
        <f>(7.1*32*2)/379</f>
        <v>1.1989445910290237</v>
      </c>
      <c r="AA25" s="125" t="s">
        <v>209</v>
      </c>
      <c r="AB25" s="130" t="s">
        <v>756</v>
      </c>
      <c r="AC25" s="104"/>
      <c r="AD25" s="104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</row>
    <row r="26" spans="1:67" ht="12.75">
      <c r="A26" s="138" t="s">
        <v>88</v>
      </c>
      <c r="B26" s="125">
        <v>3898</v>
      </c>
      <c r="C26" s="124" t="s">
        <v>196</v>
      </c>
      <c r="D26" s="125">
        <v>30600904</v>
      </c>
      <c r="E26" s="124" t="s">
        <v>197</v>
      </c>
      <c r="F26" s="125" t="s">
        <v>114</v>
      </c>
      <c r="G26" s="125">
        <v>3101</v>
      </c>
      <c r="H26" s="124" t="s">
        <v>217</v>
      </c>
      <c r="I26" s="125">
        <f>(39.585*365)/3</f>
        <v>4816.175</v>
      </c>
      <c r="J26" s="125" t="s">
        <v>689</v>
      </c>
      <c r="K26" s="125" t="s">
        <v>91</v>
      </c>
      <c r="L26" s="144">
        <v>0</v>
      </c>
      <c r="M26" s="155" t="s">
        <v>91</v>
      </c>
      <c r="N26" s="125"/>
      <c r="O26" s="126" t="s">
        <v>91</v>
      </c>
      <c r="P26" s="125" t="s">
        <v>91</v>
      </c>
      <c r="Q26" s="124" t="s">
        <v>92</v>
      </c>
      <c r="R26" s="124" t="s">
        <v>208</v>
      </c>
      <c r="S26" s="124">
        <v>23</v>
      </c>
      <c r="T26" s="124"/>
      <c r="U26" s="124"/>
      <c r="V26" s="124"/>
      <c r="W26" s="152">
        <f t="shared" si="0"/>
        <v>64.77755375</v>
      </c>
      <c r="X26" s="148"/>
      <c r="Y26" s="125">
        <v>3</v>
      </c>
      <c r="Z26" s="125">
        <v>26.9</v>
      </c>
      <c r="AA26" s="125" t="s">
        <v>221</v>
      </c>
      <c r="AB26" s="131" t="s">
        <v>692</v>
      </c>
      <c r="AC26" s="104"/>
      <c r="AD26" s="104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</row>
    <row r="27" spans="1:67" ht="12.75">
      <c r="A27" s="138" t="s">
        <v>88</v>
      </c>
      <c r="B27" s="125">
        <v>3899</v>
      </c>
      <c r="C27" s="124" t="s">
        <v>198</v>
      </c>
      <c r="D27" s="125">
        <v>30600106</v>
      </c>
      <c r="E27" s="124" t="s">
        <v>199</v>
      </c>
      <c r="F27" s="125" t="s">
        <v>114</v>
      </c>
      <c r="G27" s="125">
        <v>3102</v>
      </c>
      <c r="H27" s="124" t="s">
        <v>205</v>
      </c>
      <c r="I27" s="125">
        <v>40.969</v>
      </c>
      <c r="J27" s="125" t="s">
        <v>688</v>
      </c>
      <c r="K27" s="125" t="s">
        <v>91</v>
      </c>
      <c r="L27" s="144">
        <v>0</v>
      </c>
      <c r="M27" s="155">
        <v>1189</v>
      </c>
      <c r="N27" s="125" t="s">
        <v>690</v>
      </c>
      <c r="O27" s="126">
        <v>0.00138</v>
      </c>
      <c r="P27" s="125" t="s">
        <v>91</v>
      </c>
      <c r="Q27" s="124" t="s">
        <v>92</v>
      </c>
      <c r="R27" s="124"/>
      <c r="S27" s="124"/>
      <c r="T27" s="124"/>
      <c r="U27" s="124"/>
      <c r="V27" s="124"/>
      <c r="W27" s="152">
        <f t="shared" si="0"/>
        <v>0.024559780474934036</v>
      </c>
      <c r="X27" s="148"/>
      <c r="Y27" s="125">
        <v>3</v>
      </c>
      <c r="Z27" s="125">
        <f>(7.1*32*2)/379</f>
        <v>1.1989445910290237</v>
      </c>
      <c r="AA27" s="125" t="s">
        <v>209</v>
      </c>
      <c r="AB27" s="130" t="s">
        <v>756</v>
      </c>
      <c r="AC27" s="104"/>
      <c r="AD27" s="104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</row>
    <row r="28" spans="1:67" ht="12.75">
      <c r="A28" s="138" t="s">
        <v>88</v>
      </c>
      <c r="B28" s="125">
        <v>4333</v>
      </c>
      <c r="C28" s="124" t="s">
        <v>200</v>
      </c>
      <c r="D28" s="125">
        <v>30600106</v>
      </c>
      <c r="E28" s="124" t="s">
        <v>201</v>
      </c>
      <c r="F28" s="125" t="s">
        <v>114</v>
      </c>
      <c r="G28" s="125">
        <v>3103</v>
      </c>
      <c r="H28" s="124" t="s">
        <v>205</v>
      </c>
      <c r="I28" s="125">
        <v>86.052</v>
      </c>
      <c r="J28" s="125" t="s">
        <v>688</v>
      </c>
      <c r="K28" s="125" t="s">
        <v>91</v>
      </c>
      <c r="L28" s="144">
        <v>0</v>
      </c>
      <c r="M28" s="155">
        <v>1189</v>
      </c>
      <c r="N28" s="125" t="s">
        <v>690</v>
      </c>
      <c r="O28" s="126">
        <v>0.00138</v>
      </c>
      <c r="P28" s="125" t="s">
        <v>91</v>
      </c>
      <c r="Q28" s="124" t="s">
        <v>92</v>
      </c>
      <c r="R28" s="124"/>
      <c r="S28" s="124"/>
      <c r="T28" s="124"/>
      <c r="U28" s="124"/>
      <c r="V28" s="124"/>
      <c r="W28" s="152">
        <f t="shared" si="0"/>
        <v>0.05158578997361478</v>
      </c>
      <c r="X28" s="148"/>
      <c r="Y28" s="125">
        <v>3</v>
      </c>
      <c r="Z28" s="125">
        <f>(7.1*32*2)/379</f>
        <v>1.1989445910290237</v>
      </c>
      <c r="AA28" s="125" t="s">
        <v>209</v>
      </c>
      <c r="AB28" s="130" t="s">
        <v>756</v>
      </c>
      <c r="AC28" s="104"/>
      <c r="AD28" s="104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</row>
    <row r="29" spans="1:67" ht="12.75">
      <c r="A29" s="138" t="s">
        <v>88</v>
      </c>
      <c r="B29" s="125">
        <v>4334</v>
      </c>
      <c r="C29" s="124" t="s">
        <v>97</v>
      </c>
      <c r="D29" s="125">
        <v>30609904</v>
      </c>
      <c r="E29" s="124" t="s">
        <v>116</v>
      </c>
      <c r="F29" s="125" t="s">
        <v>114</v>
      </c>
      <c r="G29" s="125">
        <v>3104</v>
      </c>
      <c r="H29" s="124" t="s">
        <v>205</v>
      </c>
      <c r="I29" s="125">
        <v>11.916</v>
      </c>
      <c r="J29" s="125" t="s">
        <v>688</v>
      </c>
      <c r="K29" s="125" t="s">
        <v>91</v>
      </c>
      <c r="L29" s="144">
        <v>0</v>
      </c>
      <c r="M29" s="155">
        <v>1189</v>
      </c>
      <c r="N29" s="125" t="s">
        <v>690</v>
      </c>
      <c r="O29" s="126">
        <v>0.00138</v>
      </c>
      <c r="P29" s="125" t="s">
        <v>91</v>
      </c>
      <c r="Q29" s="124" t="s">
        <v>92</v>
      </c>
      <c r="R29" s="124" t="s">
        <v>116</v>
      </c>
      <c r="S29" s="124">
        <v>45</v>
      </c>
      <c r="T29" s="124" t="s">
        <v>207</v>
      </c>
      <c r="U29" s="124">
        <v>21</v>
      </c>
      <c r="V29" s="124"/>
      <c r="W29" s="152">
        <v>308.797</v>
      </c>
      <c r="X29" s="148"/>
      <c r="Y29" s="125">
        <v>3</v>
      </c>
      <c r="Z29" s="125" t="s">
        <v>215</v>
      </c>
      <c r="AA29" s="125" t="s">
        <v>209</v>
      </c>
      <c r="AB29" s="130" t="s">
        <v>222</v>
      </c>
      <c r="AC29" s="104"/>
      <c r="AD29" s="104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</row>
    <row r="30" spans="1:67" ht="13.5" thickBot="1">
      <c r="A30" s="139" t="s">
        <v>202</v>
      </c>
      <c r="B30" s="132">
        <v>5479</v>
      </c>
      <c r="C30" s="133" t="s">
        <v>203</v>
      </c>
      <c r="D30" s="132">
        <v>20200202</v>
      </c>
      <c r="E30" s="133" t="s">
        <v>204</v>
      </c>
      <c r="F30" s="132" t="s">
        <v>114</v>
      </c>
      <c r="G30" s="132">
        <v>0</v>
      </c>
      <c r="H30" s="133" t="s">
        <v>206</v>
      </c>
      <c r="I30" s="132">
        <v>90.621</v>
      </c>
      <c r="J30" s="132" t="s">
        <v>688</v>
      </c>
      <c r="K30" s="132">
        <v>1035</v>
      </c>
      <c r="L30" s="146">
        <v>0</v>
      </c>
      <c r="M30" s="156">
        <v>0</v>
      </c>
      <c r="N30" s="132">
        <v>0</v>
      </c>
      <c r="O30" s="134">
        <v>0.001</v>
      </c>
      <c r="P30" s="132"/>
      <c r="Q30" s="133" t="s">
        <v>92</v>
      </c>
      <c r="R30" s="133"/>
      <c r="S30" s="133"/>
      <c r="T30" s="133"/>
      <c r="U30" s="133"/>
      <c r="V30" s="133"/>
      <c r="W30" s="157">
        <f>Z30*I30/2000</f>
        <v>0.05432477889182058</v>
      </c>
      <c r="X30" s="150"/>
      <c r="Y30" s="132">
        <v>3</v>
      </c>
      <c r="Z30" s="132">
        <f>(7.1*32*2)/379</f>
        <v>1.1989445910290237</v>
      </c>
      <c r="AA30" s="132" t="s">
        <v>209</v>
      </c>
      <c r="AB30" s="135" t="s">
        <v>756</v>
      </c>
      <c r="AC30" s="104"/>
      <c r="AD30" s="104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</row>
    <row r="31" spans="1:66" ht="13.5" thickBot="1">
      <c r="A31" s="71"/>
      <c r="B31" s="71"/>
      <c r="C31" s="71"/>
      <c r="D31" s="71"/>
      <c r="E31" s="71"/>
      <c r="F31" s="71"/>
      <c r="G31" s="71"/>
      <c r="H31" s="71"/>
      <c r="I31" s="71"/>
      <c r="J31" s="75"/>
      <c r="K31" s="75"/>
      <c r="L31" s="71"/>
      <c r="M31" s="61"/>
      <c r="N31" s="75"/>
      <c r="O31" s="71"/>
      <c r="P31" s="71"/>
      <c r="Q31" s="71"/>
      <c r="R31" s="71"/>
      <c r="S31" s="71"/>
      <c r="T31" s="71"/>
      <c r="U31" s="71"/>
      <c r="V31" s="376" t="s">
        <v>223</v>
      </c>
      <c r="W31" s="377">
        <f>SUM(W9:W30)</f>
        <v>845.072200048438</v>
      </c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ht="13.5" thickTop="1">
      <c r="A32" s="71"/>
      <c r="B32" s="71"/>
      <c r="C32" s="71"/>
      <c r="D32" s="71"/>
      <c r="E32" s="71"/>
      <c r="F32" s="71"/>
      <c r="G32" s="71"/>
      <c r="H32" s="71"/>
      <c r="I32" s="71"/>
      <c r="J32" s="75"/>
      <c r="K32" s="75"/>
      <c r="L32" s="71"/>
      <c r="M32" s="61"/>
      <c r="N32" s="75"/>
      <c r="O32" s="71"/>
      <c r="P32" s="71"/>
      <c r="Q32" s="71"/>
      <c r="R32" s="71"/>
      <c r="S32" s="71"/>
      <c r="T32" s="71"/>
      <c r="U32" s="71"/>
      <c r="V32" s="71"/>
      <c r="W32" s="10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</row>
    <row r="33" spans="1:66" ht="12.75">
      <c r="A33" s="71"/>
      <c r="B33" s="71"/>
      <c r="C33" s="446" t="s">
        <v>744</v>
      </c>
      <c r="D33" s="3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0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</row>
    <row r="34" spans="1:66" ht="12.75">
      <c r="A34" s="71"/>
      <c r="B34" s="71"/>
      <c r="C34" t="s">
        <v>761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0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</row>
    <row r="35" spans="1:66" ht="12.75">
      <c r="A35" s="71"/>
      <c r="B35" s="71"/>
      <c r="C35" s="447" t="s">
        <v>762</v>
      </c>
      <c r="D35" s="66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10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</row>
    <row r="36" spans="1:66" ht="12.75">
      <c r="A36" s="71"/>
      <c r="B36" s="71"/>
      <c r="D36" s="66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0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</row>
    <row r="37" spans="1:66" ht="12.75">
      <c r="A37" s="71"/>
      <c r="B37" s="71"/>
      <c r="D37" s="66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0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</row>
    <row r="38" spans="1:66" ht="12.75">
      <c r="A38" s="71"/>
      <c r="B38" s="71"/>
      <c r="C38" s="104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0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</row>
    <row r="39" spans="1:66" ht="12.75">
      <c r="A39" s="71"/>
      <c r="B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10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</row>
    <row r="40" spans="1:66" ht="12.75">
      <c r="A40" s="71"/>
      <c r="B40" s="71"/>
      <c r="D40" s="66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10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</row>
    <row r="41" spans="1:66" ht="12.75">
      <c r="A41" s="71"/>
      <c r="B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10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</row>
    <row r="42" spans="1:66" ht="12.75">
      <c r="A42" s="71"/>
      <c r="B42" s="71"/>
      <c r="D42" s="66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10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</row>
    <row r="43" spans="1:66" ht="12.75">
      <c r="A43" s="71"/>
      <c r="B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10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</row>
    <row r="44" spans="1:66" ht="12.75">
      <c r="A44" s="71"/>
      <c r="B44" s="71"/>
      <c r="D44" s="66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10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</row>
    <row r="45" spans="1:66" ht="12.75">
      <c r="A45" s="71"/>
      <c r="B45" s="71"/>
      <c r="D45" s="103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10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</row>
    <row r="46" spans="1:66" ht="12.75">
      <c r="A46" s="71"/>
      <c r="B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10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</row>
    <row r="47" spans="1:66" ht="12.75">
      <c r="A47" s="71"/>
      <c r="B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10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</row>
    <row r="48" spans="1:66" ht="12.75">
      <c r="A48" s="71"/>
      <c r="B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10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</row>
    <row r="49" spans="1:66" ht="12.75">
      <c r="A49" s="71"/>
      <c r="B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10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</row>
    <row r="50" spans="1:66" ht="12.75">
      <c r="A50" s="71"/>
      <c r="B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10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</row>
    <row r="51" spans="1:66" ht="12.75">
      <c r="A51" s="71"/>
      <c r="B51" s="71"/>
      <c r="D51" s="3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10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</row>
    <row r="52" spans="1:66" ht="12.75">
      <c r="A52" s="71"/>
      <c r="B52" s="71"/>
      <c r="D52" s="30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10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</row>
    <row r="53" spans="1:66" ht="12.75">
      <c r="A53" s="71"/>
      <c r="B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10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</row>
    <row r="54" spans="1:66" ht="12.75">
      <c r="A54" s="71"/>
      <c r="B54" s="71"/>
      <c r="D54" s="66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10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</row>
    <row r="55" spans="1:66" ht="12.75">
      <c r="A55" s="71"/>
      <c r="B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10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</row>
    <row r="56" spans="1:66" ht="12.75">
      <c r="A56" s="71"/>
      <c r="B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10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</row>
    <row r="57" spans="1:66" ht="12.75">
      <c r="A57" s="71"/>
      <c r="B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10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</row>
    <row r="58" spans="1:66" ht="12.75">
      <c r="A58" s="71"/>
      <c r="B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10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</row>
    <row r="59" spans="1:66" ht="12.75">
      <c r="A59" s="71"/>
      <c r="B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10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</row>
    <row r="60" spans="1:66" ht="12.75">
      <c r="A60" s="71"/>
      <c r="B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10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</row>
    <row r="61" spans="1:66" ht="12.7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10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</row>
    <row r="62" spans="1:66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10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</row>
    <row r="63" spans="1:66" ht="12.7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10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</row>
    <row r="64" spans="1:66" ht="12.7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10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</row>
    <row r="65" spans="1:66" ht="12.7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10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</row>
    <row r="66" spans="1:66" ht="12.7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10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</row>
    <row r="67" spans="1:66" ht="12.7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10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</row>
    <row r="68" spans="1:66" ht="12.7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10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</row>
    <row r="69" spans="1:66" ht="12.7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10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</row>
    <row r="70" spans="1:66" ht="12.7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10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</row>
    <row r="71" spans="1:66" ht="12.7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10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</row>
    <row r="72" spans="1:66" ht="12.7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10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</row>
    <row r="73" spans="1:66" ht="12.7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10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</row>
    <row r="74" spans="1:66" ht="12.7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10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</row>
    <row r="75" spans="1:66" ht="12.7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10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</row>
    <row r="76" spans="1:66" ht="12.7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10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</row>
    <row r="77" spans="1:66" ht="12.7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10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</row>
    <row r="78" spans="1:66" ht="12.7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10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</row>
    <row r="79" spans="1:66" ht="12.7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0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</row>
    <row r="80" spans="1:66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10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</row>
    <row r="81" spans="1:66" ht="12.7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10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</row>
    <row r="82" spans="1:66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10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</row>
    <row r="83" spans="1:66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10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</row>
    <row r="84" spans="1:66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10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</row>
    <row r="85" spans="1:66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10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</row>
    <row r="86" spans="1:66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10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</row>
    <row r="87" spans="1:66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10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</row>
    <row r="88" spans="1:66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10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</row>
    <row r="89" spans="1:66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10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</row>
    <row r="90" spans="1:66" ht="12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10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</row>
    <row r="91" spans="1:66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10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</row>
    <row r="92" spans="1:66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10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</row>
    <row r="93" spans="1:66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10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</row>
    <row r="94" spans="1:66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10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</row>
    <row r="95" spans="1:66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10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</row>
    <row r="96" spans="1:66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10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</row>
    <row r="97" spans="1:66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10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</row>
    <row r="98" spans="1:66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10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</row>
    <row r="99" spans="1:66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10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</row>
    <row r="100" spans="1:66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10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</row>
    <row r="101" spans="1:66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10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</row>
    <row r="102" spans="1:66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10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</row>
    <row r="103" spans="1:66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10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</row>
    <row r="104" spans="1:66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10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</row>
    <row r="105" spans="1:66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10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</row>
    <row r="106" spans="1:66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10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</row>
    <row r="107" spans="1:66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10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</row>
    <row r="108" spans="1:66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10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</row>
    <row r="109" spans="1:66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10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</row>
    <row r="110" spans="1:66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10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</row>
    <row r="111" spans="1:66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10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</row>
    <row r="112" spans="1:66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10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</row>
    <row r="113" spans="1:66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10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</row>
    <row r="114" spans="1:66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10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</row>
    <row r="115" spans="1:66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10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</row>
    <row r="116" spans="1:66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10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</row>
    <row r="117" spans="1:66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10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</row>
    <row r="118" spans="1:66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10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</row>
    <row r="119" spans="1:66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10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</row>
    <row r="120" spans="1:66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10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</row>
    <row r="121" spans="1:66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10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</row>
    <row r="122" spans="1:66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10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</row>
    <row r="123" spans="1:66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10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</row>
    <row r="124" spans="1:66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10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</row>
    <row r="125" spans="1:66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10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</row>
    <row r="126" spans="1:66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10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</row>
    <row r="127" spans="1:66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10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</row>
    <row r="128" spans="1:66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10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</row>
    <row r="129" spans="1:66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10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</row>
    <row r="130" spans="1:66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10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</row>
    <row r="131" spans="1:66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10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</row>
    <row r="132" spans="1:66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10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</row>
    <row r="133" spans="1:66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10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</row>
    <row r="134" spans="1:66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10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</row>
    <row r="135" spans="1:66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10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</row>
    <row r="136" spans="1:66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10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</row>
    <row r="137" spans="1:66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10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</row>
    <row r="138" spans="1:66" ht="12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10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</row>
    <row r="139" spans="1:66" ht="12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0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</row>
    <row r="140" spans="1:66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10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</row>
    <row r="141" spans="1:66" ht="12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10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</row>
    <row r="142" spans="1:66" ht="12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10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</row>
    <row r="143" spans="1:66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0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</row>
    <row r="144" spans="1:66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0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</row>
    <row r="145" spans="1:66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10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</row>
    <row r="146" spans="1:66" ht="12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10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</row>
    <row r="147" spans="1:66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0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</row>
    <row r="148" spans="1:66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0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</row>
    <row r="149" spans="1:66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10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</row>
    <row r="150" spans="1:66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10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</row>
    <row r="151" spans="1:66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10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</row>
    <row r="152" spans="1:66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10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</row>
    <row r="153" spans="1:66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10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</row>
    <row r="154" spans="1:66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10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</row>
    <row r="155" spans="1:66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10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</row>
    <row r="156" spans="1:66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10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</row>
    <row r="157" spans="1:66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0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</row>
    <row r="158" spans="1:66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10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</row>
    <row r="159" spans="1:66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10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</row>
    <row r="160" spans="1:66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0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</row>
    <row r="161" spans="1:66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10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</row>
    <row r="162" spans="1:66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10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</row>
    <row r="163" spans="1:66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0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</row>
    <row r="164" spans="1:66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0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</row>
    <row r="165" spans="1:66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0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</row>
    <row r="166" spans="1:66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0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</row>
    <row r="167" spans="1:66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10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</row>
    <row r="168" spans="1:66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10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</row>
    <row r="169" spans="1:66" ht="12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10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</row>
    <row r="170" spans="1:66" ht="12.7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10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</row>
    <row r="171" spans="1:66" ht="12.7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0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</row>
    <row r="172" spans="1:66" ht="12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10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</row>
    <row r="173" spans="1:66" ht="12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10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</row>
    <row r="174" spans="1:66" ht="12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0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</row>
    <row r="175" spans="1:66" ht="12.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10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</row>
    <row r="176" spans="1:66" ht="12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10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</row>
    <row r="177" spans="1:66" ht="12.7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0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</row>
    <row r="178" spans="1:66" ht="12.7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0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</row>
    <row r="179" spans="1:66" ht="12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10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</row>
    <row r="180" spans="1:66" ht="12.7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10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</row>
    <row r="181" spans="1:66" ht="12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10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</row>
    <row r="182" spans="1:66" ht="12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10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</row>
    <row r="183" spans="1:66" ht="12.7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0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</row>
    <row r="184" spans="1:66" ht="12.7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10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</row>
    <row r="185" spans="1:66" ht="12.7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10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</row>
    <row r="186" spans="1:66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0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</row>
    <row r="187" spans="1:66" ht="12.7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0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</row>
    <row r="188" spans="1:66" ht="12.7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0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</row>
    <row r="189" spans="1:66" ht="12.7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10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</row>
    <row r="190" spans="1:66" ht="12.7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0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71"/>
      <c r="BB190" s="71"/>
      <c r="BC190" s="71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</row>
    <row r="191" spans="1:66" ht="12.7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10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</row>
    <row r="192" spans="1:66" ht="12.7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10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  <c r="BM192" s="71"/>
      <c r="BN192" s="71"/>
    </row>
    <row r="193" spans="1:66" ht="12.7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10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71"/>
      <c r="BB193" s="71"/>
      <c r="BC193" s="71"/>
      <c r="BD193" s="71"/>
      <c r="BE193" s="71"/>
      <c r="BF193" s="71"/>
      <c r="BG193" s="71"/>
      <c r="BH193" s="71"/>
      <c r="BI193" s="71"/>
      <c r="BJ193" s="71"/>
      <c r="BK193" s="71"/>
      <c r="BL193" s="71"/>
      <c r="BM193" s="71"/>
      <c r="BN193" s="71"/>
    </row>
    <row r="194" spans="1:66" ht="12.7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10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</row>
    <row r="195" spans="1:66" ht="12.7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10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71"/>
      <c r="BB195" s="71"/>
      <c r="BC195" s="71"/>
      <c r="BD195" s="71"/>
      <c r="BE195" s="71"/>
      <c r="BF195" s="71"/>
      <c r="BG195" s="71"/>
      <c r="BH195" s="71"/>
      <c r="BI195" s="71"/>
      <c r="BJ195" s="71"/>
      <c r="BK195" s="71"/>
      <c r="BL195" s="71"/>
      <c r="BM195" s="71"/>
      <c r="BN195" s="71"/>
    </row>
    <row r="196" spans="1:66" ht="12.7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10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71"/>
      <c r="BB196" s="71"/>
      <c r="BC196" s="71"/>
      <c r="BD196" s="71"/>
      <c r="BE196" s="71"/>
      <c r="BF196" s="71"/>
      <c r="BG196" s="71"/>
      <c r="BH196" s="71"/>
      <c r="BI196" s="71"/>
      <c r="BJ196" s="71"/>
      <c r="BK196" s="71"/>
      <c r="BL196" s="71"/>
      <c r="BM196" s="71"/>
      <c r="BN196" s="71"/>
    </row>
    <row r="197" spans="1:66" ht="12.7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10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71"/>
      <c r="BB197" s="71"/>
      <c r="BC197" s="71"/>
      <c r="BD197" s="71"/>
      <c r="BE197" s="71"/>
      <c r="BF197" s="71"/>
      <c r="BG197" s="71"/>
      <c r="BH197" s="71"/>
      <c r="BI197" s="71"/>
      <c r="BJ197" s="71"/>
      <c r="BK197" s="71"/>
      <c r="BL197" s="71"/>
      <c r="BM197" s="71"/>
      <c r="BN197" s="71"/>
    </row>
    <row r="198" spans="1:66" ht="12.7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10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1"/>
      <c r="BD198" s="71"/>
      <c r="BE198" s="71"/>
      <c r="BF198" s="71"/>
      <c r="BG198" s="71"/>
      <c r="BH198" s="71"/>
      <c r="BI198" s="71"/>
      <c r="BJ198" s="71"/>
      <c r="BK198" s="71"/>
      <c r="BL198" s="71"/>
      <c r="BM198" s="71"/>
      <c r="BN198" s="71"/>
    </row>
    <row r="199" spans="1:66" ht="12.7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10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1"/>
      <c r="BD199" s="71"/>
      <c r="BE199" s="71"/>
      <c r="BF199" s="71"/>
      <c r="BG199" s="71"/>
      <c r="BH199" s="71"/>
      <c r="BI199" s="71"/>
      <c r="BJ199" s="71"/>
      <c r="BK199" s="71"/>
      <c r="BL199" s="71"/>
      <c r="BM199" s="71"/>
      <c r="BN199" s="71"/>
    </row>
    <row r="200" spans="1:66" ht="12.7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10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1"/>
      <c r="BD200" s="71"/>
      <c r="BE200" s="71"/>
      <c r="BF200" s="71"/>
      <c r="BG200" s="71"/>
      <c r="BH200" s="71"/>
      <c r="BI200" s="71"/>
      <c r="BJ200" s="71"/>
      <c r="BK200" s="71"/>
      <c r="BL200" s="71"/>
      <c r="BM200" s="71"/>
      <c r="BN200" s="71"/>
    </row>
    <row r="201" spans="1:66" ht="12.7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10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  <c r="AR201" s="71"/>
      <c r="AS201" s="71"/>
      <c r="AT201" s="71"/>
      <c r="AU201" s="71"/>
      <c r="AV201" s="71"/>
      <c r="AW201" s="71"/>
      <c r="AX201" s="71"/>
      <c r="AY201" s="71"/>
      <c r="AZ201" s="71"/>
      <c r="BA201" s="71"/>
      <c r="BB201" s="71"/>
      <c r="BC201" s="71"/>
      <c r="BD201" s="71"/>
      <c r="BE201" s="71"/>
      <c r="BF201" s="71"/>
      <c r="BG201" s="71"/>
      <c r="BH201" s="71"/>
      <c r="BI201" s="71"/>
      <c r="BJ201" s="71"/>
      <c r="BK201" s="71"/>
      <c r="BL201" s="71"/>
      <c r="BM201" s="71"/>
      <c r="BN201" s="71"/>
    </row>
    <row r="202" spans="1:66" ht="12.7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10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  <c r="AR202" s="71"/>
      <c r="AS202" s="71"/>
      <c r="AT202" s="71"/>
      <c r="AU202" s="71"/>
      <c r="AV202" s="71"/>
      <c r="AW202" s="71"/>
      <c r="AX202" s="71"/>
      <c r="AY202" s="71"/>
      <c r="AZ202" s="71"/>
      <c r="BA202" s="71"/>
      <c r="BB202" s="71"/>
      <c r="BC202" s="71"/>
      <c r="BD202" s="71"/>
      <c r="BE202" s="71"/>
      <c r="BF202" s="71"/>
      <c r="BG202" s="71"/>
      <c r="BH202" s="71"/>
      <c r="BI202" s="71"/>
      <c r="BJ202" s="71"/>
      <c r="BK202" s="71"/>
      <c r="BL202" s="71"/>
      <c r="BM202" s="71"/>
      <c r="BN202" s="71"/>
    </row>
    <row r="203" spans="1:66" ht="12.7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10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  <c r="AR203" s="71"/>
      <c r="AS203" s="71"/>
      <c r="AT203" s="71"/>
      <c r="AU203" s="71"/>
      <c r="AV203" s="71"/>
      <c r="AW203" s="71"/>
      <c r="AX203" s="71"/>
      <c r="AY203" s="71"/>
      <c r="AZ203" s="71"/>
      <c r="BA203" s="71"/>
      <c r="BB203" s="71"/>
      <c r="BC203" s="71"/>
      <c r="BD203" s="71"/>
      <c r="BE203" s="71"/>
      <c r="BF203" s="71"/>
      <c r="BG203" s="71"/>
      <c r="BH203" s="71"/>
      <c r="BI203" s="71"/>
      <c r="BJ203" s="71"/>
      <c r="BK203" s="71"/>
      <c r="BL203" s="71"/>
      <c r="BM203" s="71"/>
      <c r="BN203" s="71"/>
    </row>
    <row r="204" spans="1:66" ht="12.7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10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  <c r="AR204" s="71"/>
      <c r="AS204" s="71"/>
      <c r="AT204" s="71"/>
      <c r="AU204" s="71"/>
      <c r="AV204" s="71"/>
      <c r="AW204" s="71"/>
      <c r="AX204" s="71"/>
      <c r="AY204" s="71"/>
      <c r="AZ204" s="71"/>
      <c r="BA204" s="71"/>
      <c r="BB204" s="71"/>
      <c r="BC204" s="71"/>
      <c r="BD204" s="71"/>
      <c r="BE204" s="71"/>
      <c r="BF204" s="71"/>
      <c r="BG204" s="71"/>
      <c r="BH204" s="71"/>
      <c r="BI204" s="71"/>
      <c r="BJ204" s="71"/>
      <c r="BK204" s="71"/>
      <c r="BL204" s="71"/>
      <c r="BM204" s="71"/>
      <c r="BN204" s="71"/>
    </row>
    <row r="205" spans="1:66" ht="12.7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10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  <c r="BM205" s="71"/>
      <c r="BN205" s="71"/>
    </row>
    <row r="206" spans="1:66" ht="12.7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10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</row>
    <row r="207" spans="1:66" ht="12.7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10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</row>
    <row r="208" spans="1:66" ht="12.7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10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</row>
    <row r="209" spans="1:66" ht="12.7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10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</row>
    <row r="210" spans="1:66" ht="12.7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10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</row>
    <row r="211" spans="1:66" ht="12.7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10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  <c r="BM211" s="71"/>
      <c r="BN211" s="71"/>
    </row>
    <row r="212" spans="1:66" ht="12.7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10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</row>
    <row r="213" spans="1:66" ht="12.7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10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</row>
    <row r="214" spans="1:66" ht="12.7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10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  <c r="BB214" s="71"/>
      <c r="BC214" s="71"/>
      <c r="BD214" s="71"/>
      <c r="BE214" s="71"/>
      <c r="BF214" s="71"/>
      <c r="BG214" s="71"/>
      <c r="BH214" s="71"/>
      <c r="BI214" s="71"/>
      <c r="BJ214" s="71"/>
      <c r="BK214" s="71"/>
      <c r="BL214" s="71"/>
      <c r="BM214" s="71"/>
      <c r="BN214" s="71"/>
    </row>
    <row r="215" spans="1:66" ht="12.7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10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  <c r="BB215" s="71"/>
      <c r="BC215" s="71"/>
      <c r="BD215" s="71"/>
      <c r="BE215" s="71"/>
      <c r="BF215" s="71"/>
      <c r="BG215" s="71"/>
      <c r="BH215" s="71"/>
      <c r="BI215" s="71"/>
      <c r="BJ215" s="71"/>
      <c r="BK215" s="71"/>
      <c r="BL215" s="71"/>
      <c r="BM215" s="71"/>
      <c r="BN215" s="71"/>
    </row>
    <row r="216" spans="1:66" ht="12.7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10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  <c r="BB216" s="71"/>
      <c r="BC216" s="71"/>
      <c r="BD216" s="71"/>
      <c r="BE216" s="71"/>
      <c r="BF216" s="71"/>
      <c r="BG216" s="71"/>
      <c r="BH216" s="71"/>
      <c r="BI216" s="71"/>
      <c r="BJ216" s="71"/>
      <c r="BK216" s="71"/>
      <c r="BL216" s="71"/>
      <c r="BM216" s="71"/>
      <c r="BN216" s="71"/>
    </row>
    <row r="217" spans="1:66" ht="12.7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10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  <c r="BM217" s="71"/>
      <c r="BN217" s="71"/>
    </row>
    <row r="218" spans="1:66" ht="12.7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10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  <c r="BB218" s="71"/>
      <c r="BC218" s="71"/>
      <c r="BD218" s="71"/>
      <c r="BE218" s="71"/>
      <c r="BF218" s="71"/>
      <c r="BG218" s="71"/>
      <c r="BH218" s="71"/>
      <c r="BI218" s="71"/>
      <c r="BJ218" s="71"/>
      <c r="BK218" s="71"/>
      <c r="BL218" s="71"/>
      <c r="BM218" s="71"/>
      <c r="BN218" s="71"/>
    </row>
    <row r="219" spans="1:66" ht="12.7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10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  <c r="BB219" s="71"/>
      <c r="BC219" s="71"/>
      <c r="BD219" s="71"/>
      <c r="BE219" s="71"/>
      <c r="BF219" s="71"/>
      <c r="BG219" s="71"/>
      <c r="BH219" s="71"/>
      <c r="BI219" s="71"/>
      <c r="BJ219" s="71"/>
      <c r="BK219" s="71"/>
      <c r="BL219" s="71"/>
      <c r="BM219" s="71"/>
      <c r="BN219" s="71"/>
    </row>
    <row r="220" spans="1:66" ht="12.7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10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  <c r="BB220" s="71"/>
      <c r="BC220" s="71"/>
      <c r="BD220" s="71"/>
      <c r="BE220" s="71"/>
      <c r="BF220" s="71"/>
      <c r="BG220" s="71"/>
      <c r="BH220" s="71"/>
      <c r="BI220" s="71"/>
      <c r="BJ220" s="71"/>
      <c r="BK220" s="71"/>
      <c r="BL220" s="71"/>
      <c r="BM220" s="71"/>
      <c r="BN220" s="71"/>
    </row>
    <row r="221" spans="1:66" ht="12.7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10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  <c r="BB221" s="71"/>
      <c r="BC221" s="71"/>
      <c r="BD221" s="71"/>
      <c r="BE221" s="71"/>
      <c r="BF221" s="71"/>
      <c r="BG221" s="71"/>
      <c r="BH221" s="71"/>
      <c r="BI221" s="71"/>
      <c r="BJ221" s="71"/>
      <c r="BK221" s="71"/>
      <c r="BL221" s="71"/>
      <c r="BM221" s="71"/>
      <c r="BN221" s="71"/>
    </row>
    <row r="222" spans="1:66" ht="12.7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10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</row>
    <row r="223" spans="1:66" ht="12.7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10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71"/>
      <c r="BI223" s="71"/>
      <c r="BJ223" s="71"/>
      <c r="BK223" s="71"/>
      <c r="BL223" s="71"/>
      <c r="BM223" s="71"/>
      <c r="BN223" s="71"/>
    </row>
    <row r="224" spans="1:66" ht="12.7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10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</row>
    <row r="225" spans="1:66" ht="12.7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10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</row>
    <row r="226" spans="1:66" ht="12.7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10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  <c r="BN226" s="71"/>
    </row>
    <row r="227" spans="1:66" ht="12.7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10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  <c r="AT227" s="71"/>
      <c r="AU227" s="71"/>
      <c r="AV227" s="71"/>
      <c r="AW227" s="71"/>
      <c r="AX227" s="71"/>
      <c r="AY227" s="71"/>
      <c r="AZ227" s="71"/>
      <c r="BA227" s="71"/>
      <c r="BB227" s="71"/>
      <c r="BC227" s="71"/>
      <c r="BD227" s="71"/>
      <c r="BE227" s="71"/>
      <c r="BF227" s="71"/>
      <c r="BG227" s="71"/>
      <c r="BH227" s="71"/>
      <c r="BI227" s="71"/>
      <c r="BJ227" s="71"/>
      <c r="BK227" s="71"/>
      <c r="BL227" s="71"/>
      <c r="BM227" s="71"/>
      <c r="BN227" s="71"/>
    </row>
    <row r="228" spans="1:66" ht="12.7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10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  <c r="BM228" s="71"/>
      <c r="BN228" s="71"/>
    </row>
    <row r="229" spans="1:66" ht="12.7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10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</row>
    <row r="230" spans="1:66" ht="12.7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10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</row>
    <row r="231" spans="1:66" ht="12.7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10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  <c r="AR231" s="71"/>
      <c r="AS231" s="71"/>
      <c r="AT231" s="71"/>
      <c r="AU231" s="71"/>
      <c r="AV231" s="71"/>
      <c r="AW231" s="71"/>
      <c r="AX231" s="71"/>
      <c r="AY231" s="71"/>
      <c r="AZ231" s="71"/>
      <c r="BA231" s="71"/>
      <c r="BB231" s="71"/>
      <c r="BC231" s="71"/>
      <c r="BD231" s="71"/>
      <c r="BE231" s="71"/>
      <c r="BF231" s="71"/>
      <c r="BG231" s="71"/>
      <c r="BH231" s="71"/>
      <c r="BI231" s="71"/>
      <c r="BJ231" s="71"/>
      <c r="BK231" s="71"/>
      <c r="BL231" s="71"/>
      <c r="BM231" s="71"/>
      <c r="BN231" s="71"/>
    </row>
    <row r="232" spans="1:66" ht="12.7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10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</row>
    <row r="233" spans="1:66" ht="12.7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10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  <c r="AR233" s="71"/>
      <c r="AS233" s="71"/>
      <c r="AT233" s="71"/>
      <c r="AU233" s="71"/>
      <c r="AV233" s="71"/>
      <c r="AW233" s="71"/>
      <c r="AX233" s="71"/>
      <c r="AY233" s="71"/>
      <c r="AZ233" s="71"/>
      <c r="BA233" s="71"/>
      <c r="BB233" s="71"/>
      <c r="BC233" s="71"/>
      <c r="BD233" s="71"/>
      <c r="BE233" s="71"/>
      <c r="BF233" s="71"/>
      <c r="BG233" s="71"/>
      <c r="BH233" s="71"/>
      <c r="BI233" s="71"/>
      <c r="BJ233" s="71"/>
      <c r="BK233" s="71"/>
      <c r="BL233" s="71"/>
      <c r="BM233" s="71"/>
      <c r="BN233" s="71"/>
    </row>
    <row r="234" spans="1:66" ht="12.7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10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  <c r="AR234" s="71"/>
      <c r="AS234" s="71"/>
      <c r="AT234" s="71"/>
      <c r="AU234" s="71"/>
      <c r="AV234" s="71"/>
      <c r="AW234" s="71"/>
      <c r="AX234" s="71"/>
      <c r="AY234" s="71"/>
      <c r="AZ234" s="71"/>
      <c r="BA234" s="71"/>
      <c r="BB234" s="71"/>
      <c r="BC234" s="71"/>
      <c r="BD234" s="71"/>
      <c r="BE234" s="71"/>
      <c r="BF234" s="71"/>
      <c r="BG234" s="71"/>
      <c r="BH234" s="71"/>
      <c r="BI234" s="71"/>
      <c r="BJ234" s="71"/>
      <c r="BK234" s="71"/>
      <c r="BL234" s="71"/>
      <c r="BM234" s="71"/>
      <c r="BN234" s="71"/>
    </row>
    <row r="235" spans="1:66" ht="12.7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10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  <c r="AR235" s="71"/>
      <c r="AS235" s="71"/>
      <c r="AT235" s="71"/>
      <c r="AU235" s="71"/>
      <c r="AV235" s="71"/>
      <c r="AW235" s="71"/>
      <c r="AX235" s="71"/>
      <c r="AY235" s="71"/>
      <c r="AZ235" s="71"/>
      <c r="BA235" s="71"/>
      <c r="BB235" s="71"/>
      <c r="BC235" s="71"/>
      <c r="BD235" s="71"/>
      <c r="BE235" s="71"/>
      <c r="BF235" s="71"/>
      <c r="BG235" s="71"/>
      <c r="BH235" s="71"/>
      <c r="BI235" s="71"/>
      <c r="BJ235" s="71"/>
      <c r="BK235" s="71"/>
      <c r="BL235" s="71"/>
      <c r="BM235" s="71"/>
      <c r="BN235" s="71"/>
    </row>
    <row r="236" spans="1:66" ht="12.7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10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  <c r="AR236" s="71"/>
      <c r="AS236" s="71"/>
      <c r="AT236" s="71"/>
      <c r="AU236" s="71"/>
      <c r="AV236" s="71"/>
      <c r="AW236" s="71"/>
      <c r="AX236" s="71"/>
      <c r="AY236" s="71"/>
      <c r="AZ236" s="71"/>
      <c r="BA236" s="71"/>
      <c r="BB236" s="71"/>
      <c r="BC236" s="71"/>
      <c r="BD236" s="71"/>
      <c r="BE236" s="71"/>
      <c r="BF236" s="71"/>
      <c r="BG236" s="71"/>
      <c r="BH236" s="71"/>
      <c r="BI236" s="71"/>
      <c r="BJ236" s="71"/>
      <c r="BK236" s="71"/>
      <c r="BL236" s="71"/>
      <c r="BM236" s="71"/>
      <c r="BN236" s="71"/>
    </row>
    <row r="237" spans="1:66" ht="12.7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10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  <c r="AR237" s="71"/>
      <c r="AS237" s="71"/>
      <c r="AT237" s="71"/>
      <c r="AU237" s="71"/>
      <c r="AV237" s="71"/>
      <c r="AW237" s="71"/>
      <c r="AX237" s="71"/>
      <c r="AY237" s="71"/>
      <c r="AZ237" s="71"/>
      <c r="BA237" s="71"/>
      <c r="BB237" s="71"/>
      <c r="BC237" s="71"/>
      <c r="BD237" s="71"/>
      <c r="BE237" s="71"/>
      <c r="BF237" s="71"/>
      <c r="BG237" s="71"/>
      <c r="BH237" s="71"/>
      <c r="BI237" s="71"/>
      <c r="BJ237" s="71"/>
      <c r="BK237" s="71"/>
      <c r="BL237" s="71"/>
      <c r="BM237" s="71"/>
      <c r="BN237" s="71"/>
    </row>
    <row r="238" spans="1:66" ht="12.7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10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  <c r="BM238" s="71"/>
      <c r="BN238" s="71"/>
    </row>
    <row r="239" spans="1:66" ht="12.7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10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</row>
    <row r="240" spans="1:66" ht="12.7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10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  <c r="AR240" s="71"/>
      <c r="AS240" s="71"/>
      <c r="AT240" s="71"/>
      <c r="AU240" s="71"/>
      <c r="AV240" s="71"/>
      <c r="AW240" s="71"/>
      <c r="AX240" s="71"/>
      <c r="AY240" s="71"/>
      <c r="AZ240" s="71"/>
      <c r="BA240" s="71"/>
      <c r="BB240" s="71"/>
      <c r="BC240" s="71"/>
      <c r="BD240" s="71"/>
      <c r="BE240" s="71"/>
      <c r="BF240" s="71"/>
      <c r="BG240" s="71"/>
      <c r="BH240" s="71"/>
      <c r="BI240" s="71"/>
      <c r="BJ240" s="71"/>
      <c r="BK240" s="71"/>
      <c r="BL240" s="71"/>
      <c r="BM240" s="71"/>
      <c r="BN240" s="71"/>
    </row>
    <row r="241" spans="1:66" ht="12.7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10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71"/>
      <c r="AY241" s="71"/>
      <c r="AZ241" s="71"/>
      <c r="BA241" s="71"/>
      <c r="BB241" s="71"/>
      <c r="BC241" s="71"/>
      <c r="BD241" s="71"/>
      <c r="BE241" s="71"/>
      <c r="BF241" s="71"/>
      <c r="BG241" s="71"/>
      <c r="BH241" s="71"/>
      <c r="BI241" s="71"/>
      <c r="BJ241" s="71"/>
      <c r="BK241" s="71"/>
      <c r="BL241" s="71"/>
      <c r="BM241" s="71"/>
      <c r="BN241" s="71"/>
    </row>
    <row r="242" spans="1:66" ht="12.7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10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  <c r="BC242" s="71"/>
      <c r="BD242" s="71"/>
      <c r="BE242" s="71"/>
      <c r="BF242" s="71"/>
      <c r="BG242" s="71"/>
      <c r="BH242" s="71"/>
      <c r="BI242" s="71"/>
      <c r="BJ242" s="71"/>
      <c r="BK242" s="71"/>
      <c r="BL242" s="71"/>
      <c r="BM242" s="71"/>
      <c r="BN242" s="71"/>
    </row>
    <row r="243" spans="1:66" ht="12.7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10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  <c r="BM243" s="71"/>
      <c r="BN243" s="71"/>
    </row>
    <row r="244" spans="1:66" ht="12.7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10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  <c r="AR244" s="71"/>
      <c r="AS244" s="71"/>
      <c r="AT244" s="71"/>
      <c r="AU244" s="71"/>
      <c r="AV244" s="71"/>
      <c r="AW244" s="71"/>
      <c r="AX244" s="71"/>
      <c r="AY244" s="71"/>
      <c r="AZ244" s="71"/>
      <c r="BA244" s="71"/>
      <c r="BB244" s="71"/>
      <c r="BC244" s="71"/>
      <c r="BD244" s="71"/>
      <c r="BE244" s="71"/>
      <c r="BF244" s="71"/>
      <c r="BG244" s="71"/>
      <c r="BH244" s="71"/>
      <c r="BI244" s="71"/>
      <c r="BJ244" s="71"/>
      <c r="BK244" s="71"/>
      <c r="BL244" s="71"/>
      <c r="BM244" s="71"/>
      <c r="BN244" s="71"/>
    </row>
    <row r="245" spans="1:66" ht="12.7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10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  <c r="AR245" s="71"/>
      <c r="AS245" s="71"/>
      <c r="AT245" s="71"/>
      <c r="AU245" s="71"/>
      <c r="AV245" s="71"/>
      <c r="AW245" s="71"/>
      <c r="AX245" s="71"/>
      <c r="AY245" s="71"/>
      <c r="AZ245" s="71"/>
      <c r="BA245" s="71"/>
      <c r="BB245" s="71"/>
      <c r="BC245" s="71"/>
      <c r="BD245" s="71"/>
      <c r="BE245" s="71"/>
      <c r="BF245" s="71"/>
      <c r="BG245" s="71"/>
      <c r="BH245" s="71"/>
      <c r="BI245" s="71"/>
      <c r="BJ245" s="71"/>
      <c r="BK245" s="71"/>
      <c r="BL245" s="71"/>
      <c r="BM245" s="71"/>
      <c r="BN245" s="71"/>
    </row>
    <row r="246" spans="1:66" ht="12.7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10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</row>
    <row r="247" spans="1:66" ht="12.7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10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  <c r="AR247" s="71"/>
      <c r="AS247" s="71"/>
      <c r="AT247" s="71"/>
      <c r="AU247" s="71"/>
      <c r="AV247" s="71"/>
      <c r="AW247" s="71"/>
      <c r="AX247" s="71"/>
      <c r="AY247" s="71"/>
      <c r="AZ247" s="71"/>
      <c r="BA247" s="71"/>
      <c r="BB247" s="71"/>
      <c r="BC247" s="71"/>
      <c r="BD247" s="71"/>
      <c r="BE247" s="71"/>
      <c r="BF247" s="71"/>
      <c r="BG247" s="71"/>
      <c r="BH247" s="71"/>
      <c r="BI247" s="71"/>
      <c r="BJ247" s="71"/>
      <c r="BK247" s="71"/>
      <c r="BL247" s="71"/>
      <c r="BM247" s="71"/>
      <c r="BN247" s="71"/>
    </row>
    <row r="248" spans="1:66" ht="12.7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10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  <c r="BK248" s="71"/>
      <c r="BL248" s="71"/>
      <c r="BM248" s="71"/>
      <c r="BN248" s="71"/>
    </row>
    <row r="249" spans="1:66" ht="12.7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10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  <c r="AR249" s="71"/>
      <c r="AS249" s="71"/>
      <c r="AT249" s="71"/>
      <c r="AU249" s="71"/>
      <c r="AV249" s="71"/>
      <c r="AW249" s="71"/>
      <c r="AX249" s="71"/>
      <c r="AY249" s="71"/>
      <c r="AZ249" s="71"/>
      <c r="BA249" s="71"/>
      <c r="BB249" s="71"/>
      <c r="BC249" s="71"/>
      <c r="BD249" s="71"/>
      <c r="BE249" s="71"/>
      <c r="BF249" s="71"/>
      <c r="BG249" s="71"/>
      <c r="BH249" s="71"/>
      <c r="BI249" s="71"/>
      <c r="BJ249" s="71"/>
      <c r="BK249" s="71"/>
      <c r="BL249" s="71"/>
      <c r="BM249" s="71"/>
      <c r="BN249" s="71"/>
    </row>
    <row r="250" spans="1:66" ht="12.7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10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  <c r="AR250" s="71"/>
      <c r="AS250" s="71"/>
      <c r="AT250" s="71"/>
      <c r="AU250" s="71"/>
      <c r="AV250" s="71"/>
      <c r="AW250" s="71"/>
      <c r="AX250" s="71"/>
      <c r="AY250" s="71"/>
      <c r="AZ250" s="71"/>
      <c r="BA250" s="71"/>
      <c r="BB250" s="71"/>
      <c r="BC250" s="71"/>
      <c r="BD250" s="71"/>
      <c r="BE250" s="71"/>
      <c r="BF250" s="71"/>
      <c r="BG250" s="71"/>
      <c r="BH250" s="71"/>
      <c r="BI250" s="71"/>
      <c r="BJ250" s="71"/>
      <c r="BK250" s="71"/>
      <c r="BL250" s="71"/>
      <c r="BM250" s="71"/>
      <c r="BN250" s="71"/>
    </row>
    <row r="251" spans="1:66" ht="12.7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10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  <c r="BM251" s="71"/>
      <c r="BN251" s="71"/>
    </row>
    <row r="252" spans="1:66" ht="12.7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10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  <c r="AR252" s="71"/>
      <c r="AS252" s="71"/>
      <c r="AT252" s="71"/>
      <c r="AU252" s="71"/>
      <c r="AV252" s="71"/>
      <c r="AW252" s="71"/>
      <c r="AX252" s="71"/>
      <c r="AY252" s="71"/>
      <c r="AZ252" s="71"/>
      <c r="BA252" s="71"/>
      <c r="BB252" s="71"/>
      <c r="BC252" s="71"/>
      <c r="BD252" s="71"/>
      <c r="BE252" s="71"/>
      <c r="BF252" s="71"/>
      <c r="BG252" s="71"/>
      <c r="BH252" s="71"/>
      <c r="BI252" s="71"/>
      <c r="BJ252" s="71"/>
      <c r="BK252" s="71"/>
      <c r="BL252" s="71"/>
      <c r="BM252" s="71"/>
      <c r="BN252" s="71"/>
    </row>
    <row r="253" spans="1:66" ht="12.7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10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  <c r="AR253" s="71"/>
      <c r="AS253" s="71"/>
      <c r="AT253" s="71"/>
      <c r="AU253" s="71"/>
      <c r="AV253" s="71"/>
      <c r="AW253" s="71"/>
      <c r="AX253" s="71"/>
      <c r="AY253" s="71"/>
      <c r="AZ253" s="71"/>
      <c r="BA253" s="71"/>
      <c r="BB253" s="71"/>
      <c r="BC253" s="71"/>
      <c r="BD253" s="71"/>
      <c r="BE253" s="71"/>
      <c r="BF253" s="71"/>
      <c r="BG253" s="71"/>
      <c r="BH253" s="71"/>
      <c r="BI253" s="71"/>
      <c r="BJ253" s="71"/>
      <c r="BK253" s="71"/>
      <c r="BL253" s="71"/>
      <c r="BM253" s="71"/>
      <c r="BN253" s="71"/>
    </row>
    <row r="254" spans="1:66" ht="12.7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10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1"/>
      <c r="BD254" s="71"/>
      <c r="BE254" s="71"/>
      <c r="BF254" s="71"/>
      <c r="BG254" s="71"/>
      <c r="BH254" s="71"/>
      <c r="BI254" s="71"/>
      <c r="BJ254" s="71"/>
      <c r="BK254" s="71"/>
      <c r="BL254" s="71"/>
      <c r="BM254" s="71"/>
      <c r="BN254" s="71"/>
    </row>
    <row r="255" spans="1:66" ht="12.7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10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1"/>
      <c r="BD255" s="71"/>
      <c r="BE255" s="71"/>
      <c r="BF255" s="71"/>
      <c r="BG255" s="71"/>
      <c r="BH255" s="71"/>
      <c r="BI255" s="71"/>
      <c r="BJ255" s="71"/>
      <c r="BK255" s="71"/>
      <c r="BL255" s="71"/>
      <c r="BM255" s="71"/>
      <c r="BN255" s="71"/>
    </row>
    <row r="256" spans="1:66" ht="12.7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10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1"/>
      <c r="BD256" s="71"/>
      <c r="BE256" s="71"/>
      <c r="BF256" s="71"/>
      <c r="BG256" s="71"/>
      <c r="BH256" s="71"/>
      <c r="BI256" s="71"/>
      <c r="BJ256" s="71"/>
      <c r="BK256" s="71"/>
      <c r="BL256" s="71"/>
      <c r="BM256" s="71"/>
      <c r="BN256" s="71"/>
    </row>
    <row r="257" spans="1:66" ht="12.7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10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  <c r="AR257" s="71"/>
      <c r="AS257" s="71"/>
      <c r="AT257" s="71"/>
      <c r="AU257" s="71"/>
      <c r="AV257" s="71"/>
      <c r="AW257" s="71"/>
      <c r="AX257" s="71"/>
      <c r="AY257" s="71"/>
      <c r="AZ257" s="71"/>
      <c r="BA257" s="71"/>
      <c r="BB257" s="71"/>
      <c r="BC257" s="71"/>
      <c r="BD257" s="71"/>
      <c r="BE257" s="71"/>
      <c r="BF257" s="71"/>
      <c r="BG257" s="71"/>
      <c r="BH257" s="71"/>
      <c r="BI257" s="71"/>
      <c r="BJ257" s="71"/>
      <c r="BK257" s="71"/>
      <c r="BL257" s="71"/>
      <c r="BM257" s="71"/>
      <c r="BN257" s="71"/>
    </row>
    <row r="258" spans="1:66" ht="12.7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10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  <c r="AR258" s="71"/>
      <c r="AS258" s="71"/>
      <c r="AT258" s="71"/>
      <c r="AU258" s="71"/>
      <c r="AV258" s="71"/>
      <c r="AW258" s="71"/>
      <c r="AX258" s="71"/>
      <c r="AY258" s="71"/>
      <c r="AZ258" s="71"/>
      <c r="BA258" s="71"/>
      <c r="BB258" s="71"/>
      <c r="BC258" s="71"/>
      <c r="BD258" s="71"/>
      <c r="BE258" s="71"/>
      <c r="BF258" s="71"/>
      <c r="BG258" s="71"/>
      <c r="BH258" s="71"/>
      <c r="BI258" s="71"/>
      <c r="BJ258" s="71"/>
      <c r="BK258" s="71"/>
      <c r="BL258" s="71"/>
      <c r="BM258" s="71"/>
      <c r="BN258" s="71"/>
    </row>
    <row r="259" spans="1:66" ht="12.7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10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</row>
    <row r="260" spans="1:66" ht="12.7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10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  <c r="BM260" s="71"/>
      <c r="BN260" s="71"/>
    </row>
    <row r="261" spans="1:66" ht="12.7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10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  <c r="AR261" s="71"/>
      <c r="AS261" s="71"/>
      <c r="AT261" s="71"/>
      <c r="AU261" s="71"/>
      <c r="AV261" s="71"/>
      <c r="AW261" s="71"/>
      <c r="AX261" s="71"/>
      <c r="AY261" s="71"/>
      <c r="AZ261" s="71"/>
      <c r="BA261" s="71"/>
      <c r="BB261" s="71"/>
      <c r="BC261" s="71"/>
      <c r="BD261" s="71"/>
      <c r="BE261" s="71"/>
      <c r="BF261" s="71"/>
      <c r="BG261" s="71"/>
      <c r="BH261" s="71"/>
      <c r="BI261" s="71"/>
      <c r="BJ261" s="71"/>
      <c r="BK261" s="71"/>
      <c r="BL261" s="71"/>
      <c r="BM261" s="71"/>
      <c r="BN261" s="71"/>
    </row>
    <row r="262" spans="1:66" ht="12.7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10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  <c r="AR262" s="71"/>
      <c r="AS262" s="71"/>
      <c r="AT262" s="71"/>
      <c r="AU262" s="71"/>
      <c r="AV262" s="71"/>
      <c r="AW262" s="71"/>
      <c r="AX262" s="71"/>
      <c r="AY262" s="71"/>
      <c r="AZ262" s="71"/>
      <c r="BA262" s="71"/>
      <c r="BB262" s="71"/>
      <c r="BC262" s="71"/>
      <c r="BD262" s="71"/>
      <c r="BE262" s="71"/>
      <c r="BF262" s="71"/>
      <c r="BG262" s="71"/>
      <c r="BH262" s="71"/>
      <c r="BI262" s="71"/>
      <c r="BJ262" s="71"/>
      <c r="BK262" s="71"/>
      <c r="BL262" s="71"/>
      <c r="BM262" s="71"/>
      <c r="BN262" s="71"/>
    </row>
    <row r="263" spans="1:66" ht="12.7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10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  <c r="AR263" s="71"/>
      <c r="AS263" s="71"/>
      <c r="AT263" s="71"/>
      <c r="AU263" s="71"/>
      <c r="AV263" s="71"/>
      <c r="AW263" s="71"/>
      <c r="AX263" s="71"/>
      <c r="AY263" s="71"/>
      <c r="AZ263" s="71"/>
      <c r="BA263" s="71"/>
      <c r="BB263" s="71"/>
      <c r="BC263" s="71"/>
      <c r="BD263" s="71"/>
      <c r="BE263" s="71"/>
      <c r="BF263" s="71"/>
      <c r="BG263" s="71"/>
      <c r="BH263" s="71"/>
      <c r="BI263" s="71"/>
      <c r="BJ263" s="71"/>
      <c r="BK263" s="71"/>
      <c r="BL263" s="71"/>
      <c r="BM263" s="71"/>
      <c r="BN263" s="71"/>
    </row>
    <row r="264" spans="1:66" ht="12.7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10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  <c r="AR264" s="71"/>
      <c r="AS264" s="71"/>
      <c r="AT264" s="71"/>
      <c r="AU264" s="71"/>
      <c r="AV264" s="71"/>
      <c r="AW264" s="71"/>
      <c r="AX264" s="71"/>
      <c r="AY264" s="71"/>
      <c r="AZ264" s="71"/>
      <c r="BA264" s="71"/>
      <c r="BB264" s="71"/>
      <c r="BC264" s="71"/>
      <c r="BD264" s="71"/>
      <c r="BE264" s="71"/>
      <c r="BF264" s="71"/>
      <c r="BG264" s="71"/>
      <c r="BH264" s="71"/>
      <c r="BI264" s="71"/>
      <c r="BJ264" s="71"/>
      <c r="BK264" s="71"/>
      <c r="BL264" s="71"/>
      <c r="BM264" s="71"/>
      <c r="BN264" s="71"/>
    </row>
    <row r="265" spans="1:66" ht="12.7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10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</row>
    <row r="266" spans="1:66" ht="12.7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10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</row>
    <row r="267" spans="1:66" ht="12.7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10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  <c r="AR267" s="71"/>
      <c r="AS267" s="71"/>
      <c r="AT267" s="71"/>
      <c r="AU267" s="71"/>
      <c r="AV267" s="71"/>
      <c r="AW267" s="71"/>
      <c r="AX267" s="71"/>
      <c r="AY267" s="71"/>
      <c r="AZ267" s="71"/>
      <c r="BA267" s="71"/>
      <c r="BB267" s="71"/>
      <c r="BC267" s="71"/>
      <c r="BD267" s="71"/>
      <c r="BE267" s="71"/>
      <c r="BF267" s="71"/>
      <c r="BG267" s="71"/>
      <c r="BH267" s="71"/>
      <c r="BI267" s="71"/>
      <c r="BJ267" s="71"/>
      <c r="BK267" s="71"/>
      <c r="BL267" s="71"/>
      <c r="BM267" s="71"/>
      <c r="BN267" s="71"/>
    </row>
    <row r="268" spans="1:66" ht="12.7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10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  <c r="BM268" s="71"/>
      <c r="BN268" s="71"/>
    </row>
    <row r="269" spans="1:66" ht="12.7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10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  <c r="AR269" s="71"/>
      <c r="AS269" s="71"/>
      <c r="AT269" s="71"/>
      <c r="AU269" s="71"/>
      <c r="AV269" s="71"/>
      <c r="AW269" s="71"/>
      <c r="AX269" s="71"/>
      <c r="AY269" s="71"/>
      <c r="AZ269" s="71"/>
      <c r="BA269" s="71"/>
      <c r="BB269" s="71"/>
      <c r="BC269" s="71"/>
      <c r="BD269" s="71"/>
      <c r="BE269" s="71"/>
      <c r="BF269" s="71"/>
      <c r="BG269" s="71"/>
      <c r="BH269" s="71"/>
      <c r="BI269" s="71"/>
      <c r="BJ269" s="71"/>
      <c r="BK269" s="71"/>
      <c r="BL269" s="71"/>
      <c r="BM269" s="71"/>
      <c r="BN269" s="71"/>
    </row>
    <row r="270" spans="1:66" ht="12.7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10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  <c r="AR270" s="71"/>
      <c r="AS270" s="71"/>
      <c r="AT270" s="71"/>
      <c r="AU270" s="71"/>
      <c r="AV270" s="71"/>
      <c r="AW270" s="71"/>
      <c r="AX270" s="71"/>
      <c r="AY270" s="71"/>
      <c r="AZ270" s="71"/>
      <c r="BA270" s="71"/>
      <c r="BB270" s="71"/>
      <c r="BC270" s="71"/>
      <c r="BD270" s="71"/>
      <c r="BE270" s="71"/>
      <c r="BF270" s="71"/>
      <c r="BG270" s="71"/>
      <c r="BH270" s="71"/>
      <c r="BI270" s="71"/>
      <c r="BJ270" s="71"/>
      <c r="BK270" s="71"/>
      <c r="BL270" s="71"/>
      <c r="BM270" s="71"/>
      <c r="BN270" s="71"/>
    </row>
    <row r="271" spans="1:66" ht="12.7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10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  <c r="AR271" s="71"/>
      <c r="AS271" s="71"/>
      <c r="AT271" s="71"/>
      <c r="AU271" s="71"/>
      <c r="AV271" s="71"/>
      <c r="AW271" s="71"/>
      <c r="AX271" s="71"/>
      <c r="AY271" s="71"/>
      <c r="AZ271" s="71"/>
      <c r="BA271" s="71"/>
      <c r="BB271" s="71"/>
      <c r="BC271" s="71"/>
      <c r="BD271" s="71"/>
      <c r="BE271" s="71"/>
      <c r="BF271" s="71"/>
      <c r="BG271" s="71"/>
      <c r="BH271" s="71"/>
      <c r="BI271" s="71"/>
      <c r="BJ271" s="71"/>
      <c r="BK271" s="71"/>
      <c r="BL271" s="71"/>
      <c r="BM271" s="71"/>
      <c r="BN271" s="71"/>
    </row>
    <row r="272" spans="1:66" ht="12.7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10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  <c r="BM272" s="71"/>
      <c r="BN272" s="71"/>
    </row>
    <row r="273" spans="1:66" ht="12.7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10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  <c r="BM273" s="71"/>
      <c r="BN273" s="71"/>
    </row>
    <row r="274" spans="1:66" ht="12.7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10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  <c r="AR274" s="71"/>
      <c r="AS274" s="71"/>
      <c r="AT274" s="71"/>
      <c r="AU274" s="71"/>
      <c r="AV274" s="71"/>
      <c r="AW274" s="71"/>
      <c r="AX274" s="71"/>
      <c r="AY274" s="71"/>
      <c r="AZ274" s="71"/>
      <c r="BA274" s="71"/>
      <c r="BB274" s="71"/>
      <c r="BC274" s="71"/>
      <c r="BD274" s="71"/>
      <c r="BE274" s="71"/>
      <c r="BF274" s="71"/>
      <c r="BG274" s="71"/>
      <c r="BH274" s="71"/>
      <c r="BI274" s="71"/>
      <c r="BJ274" s="71"/>
      <c r="BK274" s="71"/>
      <c r="BL274" s="71"/>
      <c r="BM274" s="71"/>
      <c r="BN274" s="71"/>
    </row>
    <row r="275" spans="1:66" ht="12.7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10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  <c r="AR275" s="71"/>
      <c r="AS275" s="71"/>
      <c r="AT275" s="71"/>
      <c r="AU275" s="71"/>
      <c r="AV275" s="71"/>
      <c r="AW275" s="71"/>
      <c r="AX275" s="71"/>
      <c r="AY275" s="71"/>
      <c r="AZ275" s="71"/>
      <c r="BA275" s="71"/>
      <c r="BB275" s="71"/>
      <c r="BC275" s="71"/>
      <c r="BD275" s="71"/>
      <c r="BE275" s="71"/>
      <c r="BF275" s="71"/>
      <c r="BG275" s="71"/>
      <c r="BH275" s="71"/>
      <c r="BI275" s="71"/>
      <c r="BJ275" s="71"/>
      <c r="BK275" s="71"/>
      <c r="BL275" s="71"/>
      <c r="BM275" s="71"/>
      <c r="BN275" s="71"/>
    </row>
    <row r="276" spans="1:66" ht="12.7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10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  <c r="AR276" s="71"/>
      <c r="AS276" s="71"/>
      <c r="AT276" s="71"/>
      <c r="AU276" s="71"/>
      <c r="AV276" s="71"/>
      <c r="AW276" s="71"/>
      <c r="AX276" s="71"/>
      <c r="AY276" s="71"/>
      <c r="AZ276" s="71"/>
      <c r="BA276" s="71"/>
      <c r="BB276" s="71"/>
      <c r="BC276" s="71"/>
      <c r="BD276" s="71"/>
      <c r="BE276" s="71"/>
      <c r="BF276" s="71"/>
      <c r="BG276" s="71"/>
      <c r="BH276" s="71"/>
      <c r="BI276" s="71"/>
      <c r="BJ276" s="71"/>
      <c r="BK276" s="71"/>
      <c r="BL276" s="71"/>
      <c r="BM276" s="71"/>
      <c r="BN276" s="71"/>
    </row>
    <row r="277" spans="1:66" ht="12.7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10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  <c r="AT277" s="71"/>
      <c r="AU277" s="71"/>
      <c r="AV277" s="71"/>
      <c r="AW277" s="71"/>
      <c r="AX277" s="71"/>
      <c r="AY277" s="71"/>
      <c r="AZ277" s="71"/>
      <c r="BA277" s="71"/>
      <c r="BB277" s="71"/>
      <c r="BC277" s="71"/>
      <c r="BD277" s="71"/>
      <c r="BE277" s="71"/>
      <c r="BF277" s="71"/>
      <c r="BG277" s="71"/>
      <c r="BH277" s="71"/>
      <c r="BI277" s="71"/>
      <c r="BJ277" s="71"/>
      <c r="BK277" s="71"/>
      <c r="BL277" s="71"/>
      <c r="BM277" s="71"/>
      <c r="BN277" s="71"/>
    </row>
    <row r="278" spans="1:66" ht="12.7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10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  <c r="AT278" s="71"/>
      <c r="AU278" s="71"/>
      <c r="AV278" s="71"/>
      <c r="AW278" s="71"/>
      <c r="AX278" s="71"/>
      <c r="AY278" s="71"/>
      <c r="AZ278" s="71"/>
      <c r="BA278" s="71"/>
      <c r="BB278" s="71"/>
      <c r="BC278" s="71"/>
      <c r="BD278" s="71"/>
      <c r="BE278" s="71"/>
      <c r="BF278" s="71"/>
      <c r="BG278" s="71"/>
      <c r="BH278" s="71"/>
      <c r="BI278" s="71"/>
      <c r="BJ278" s="71"/>
      <c r="BK278" s="71"/>
      <c r="BL278" s="71"/>
      <c r="BM278" s="71"/>
      <c r="BN278" s="71"/>
    </row>
    <row r="279" spans="1:66" ht="12.7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10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</row>
    <row r="280" spans="1:66" ht="12.7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10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  <c r="AT280" s="71"/>
      <c r="AU280" s="71"/>
      <c r="AV280" s="71"/>
      <c r="AW280" s="71"/>
      <c r="AX280" s="71"/>
      <c r="AY280" s="71"/>
      <c r="AZ280" s="71"/>
      <c r="BA280" s="71"/>
      <c r="BB280" s="71"/>
      <c r="BC280" s="71"/>
      <c r="BD280" s="71"/>
      <c r="BE280" s="71"/>
      <c r="BF280" s="71"/>
      <c r="BG280" s="71"/>
      <c r="BH280" s="71"/>
      <c r="BI280" s="71"/>
      <c r="BJ280" s="71"/>
      <c r="BK280" s="71"/>
      <c r="BL280" s="71"/>
      <c r="BM280" s="71"/>
      <c r="BN280" s="71"/>
    </row>
    <row r="281" spans="1:66" ht="12.7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10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  <c r="AT281" s="71"/>
      <c r="AU281" s="71"/>
      <c r="AV281" s="71"/>
      <c r="AW281" s="71"/>
      <c r="AX281" s="71"/>
      <c r="AY281" s="71"/>
      <c r="AZ281" s="71"/>
      <c r="BA281" s="71"/>
      <c r="BB281" s="71"/>
      <c r="BC281" s="71"/>
      <c r="BD281" s="71"/>
      <c r="BE281" s="71"/>
      <c r="BF281" s="71"/>
      <c r="BG281" s="71"/>
      <c r="BH281" s="71"/>
      <c r="BI281" s="71"/>
      <c r="BJ281" s="71"/>
      <c r="BK281" s="71"/>
      <c r="BL281" s="71"/>
      <c r="BM281" s="71"/>
      <c r="BN281" s="71"/>
    </row>
    <row r="282" spans="1:66" ht="12.7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10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  <c r="AT282" s="71"/>
      <c r="AU282" s="71"/>
      <c r="AV282" s="71"/>
      <c r="AW282" s="71"/>
      <c r="AX282" s="71"/>
      <c r="AY282" s="71"/>
      <c r="AZ282" s="71"/>
      <c r="BA282" s="71"/>
      <c r="BB282" s="71"/>
      <c r="BC282" s="71"/>
      <c r="BD282" s="71"/>
      <c r="BE282" s="71"/>
      <c r="BF282" s="71"/>
      <c r="BG282" s="71"/>
      <c r="BH282" s="71"/>
      <c r="BI282" s="71"/>
      <c r="BJ282" s="71"/>
      <c r="BK282" s="71"/>
      <c r="BL282" s="71"/>
      <c r="BM282" s="71"/>
      <c r="BN282" s="71"/>
    </row>
    <row r="283" spans="1:66" ht="12.7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10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  <c r="AT283" s="71"/>
      <c r="AU283" s="71"/>
      <c r="AV283" s="71"/>
      <c r="AW283" s="71"/>
      <c r="AX283" s="71"/>
      <c r="AY283" s="71"/>
      <c r="AZ283" s="71"/>
      <c r="BA283" s="71"/>
      <c r="BB283" s="71"/>
      <c r="BC283" s="71"/>
      <c r="BD283" s="71"/>
      <c r="BE283" s="71"/>
      <c r="BF283" s="71"/>
      <c r="BG283" s="71"/>
      <c r="BH283" s="71"/>
      <c r="BI283" s="71"/>
      <c r="BJ283" s="71"/>
      <c r="BK283" s="71"/>
      <c r="BL283" s="71"/>
      <c r="BM283" s="71"/>
      <c r="BN283" s="71"/>
    </row>
    <row r="284" spans="1:66" ht="12.7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10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  <c r="AT284" s="71"/>
      <c r="AU284" s="71"/>
      <c r="AV284" s="71"/>
      <c r="AW284" s="71"/>
      <c r="AX284" s="71"/>
      <c r="AY284" s="71"/>
      <c r="AZ284" s="71"/>
      <c r="BA284" s="71"/>
      <c r="BB284" s="71"/>
      <c r="BC284" s="71"/>
      <c r="BD284" s="71"/>
      <c r="BE284" s="71"/>
      <c r="BF284" s="71"/>
      <c r="BG284" s="71"/>
      <c r="BH284" s="71"/>
      <c r="BI284" s="71"/>
      <c r="BJ284" s="71"/>
      <c r="BK284" s="71"/>
      <c r="BL284" s="71"/>
      <c r="BM284" s="71"/>
      <c r="BN284" s="71"/>
    </row>
    <row r="285" spans="1:66" ht="12.7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10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  <c r="AT285" s="71"/>
      <c r="AU285" s="71"/>
      <c r="AV285" s="71"/>
      <c r="AW285" s="71"/>
      <c r="AX285" s="71"/>
      <c r="AY285" s="71"/>
      <c r="AZ285" s="71"/>
      <c r="BA285" s="71"/>
      <c r="BB285" s="71"/>
      <c r="BC285" s="71"/>
      <c r="BD285" s="71"/>
      <c r="BE285" s="71"/>
      <c r="BF285" s="71"/>
      <c r="BG285" s="71"/>
      <c r="BH285" s="71"/>
      <c r="BI285" s="71"/>
      <c r="BJ285" s="71"/>
      <c r="BK285" s="71"/>
      <c r="BL285" s="71"/>
      <c r="BM285" s="71"/>
      <c r="BN285" s="71"/>
    </row>
    <row r="286" spans="1:66" ht="12.7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10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  <c r="AT286" s="71"/>
      <c r="AU286" s="71"/>
      <c r="AV286" s="71"/>
      <c r="AW286" s="71"/>
      <c r="AX286" s="71"/>
      <c r="AY286" s="71"/>
      <c r="AZ286" s="71"/>
      <c r="BA286" s="71"/>
      <c r="BB286" s="71"/>
      <c r="BC286" s="71"/>
      <c r="BD286" s="71"/>
      <c r="BE286" s="71"/>
      <c r="BF286" s="71"/>
      <c r="BG286" s="71"/>
      <c r="BH286" s="71"/>
      <c r="BI286" s="71"/>
      <c r="BJ286" s="71"/>
      <c r="BK286" s="71"/>
      <c r="BL286" s="71"/>
      <c r="BM286" s="71"/>
      <c r="BN286" s="71"/>
    </row>
    <row r="287" spans="1:66" ht="12.7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10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  <c r="AT287" s="71"/>
      <c r="AU287" s="71"/>
      <c r="AV287" s="71"/>
      <c r="AW287" s="71"/>
      <c r="AX287" s="71"/>
      <c r="AY287" s="71"/>
      <c r="AZ287" s="71"/>
      <c r="BA287" s="71"/>
      <c r="BB287" s="71"/>
      <c r="BC287" s="71"/>
      <c r="BD287" s="71"/>
      <c r="BE287" s="71"/>
      <c r="BF287" s="71"/>
      <c r="BG287" s="71"/>
      <c r="BH287" s="71"/>
      <c r="BI287" s="71"/>
      <c r="BJ287" s="71"/>
      <c r="BK287" s="71"/>
      <c r="BL287" s="71"/>
      <c r="BM287" s="71"/>
      <c r="BN287" s="71"/>
    </row>
    <row r="288" spans="1:66" ht="12.7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10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  <c r="AT288" s="71"/>
      <c r="AU288" s="71"/>
      <c r="AV288" s="71"/>
      <c r="AW288" s="71"/>
      <c r="AX288" s="71"/>
      <c r="AY288" s="71"/>
      <c r="AZ288" s="71"/>
      <c r="BA288" s="71"/>
      <c r="BB288" s="71"/>
      <c r="BC288" s="71"/>
      <c r="BD288" s="71"/>
      <c r="BE288" s="71"/>
      <c r="BF288" s="71"/>
      <c r="BG288" s="71"/>
      <c r="BH288" s="71"/>
      <c r="BI288" s="71"/>
      <c r="BJ288" s="71"/>
      <c r="BK288" s="71"/>
      <c r="BL288" s="71"/>
      <c r="BM288" s="71"/>
      <c r="BN288" s="71"/>
    </row>
    <row r="289" spans="1:66" ht="12.7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10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  <c r="AT289" s="71"/>
      <c r="AU289" s="71"/>
      <c r="AV289" s="71"/>
      <c r="AW289" s="71"/>
      <c r="AX289" s="71"/>
      <c r="AY289" s="71"/>
      <c r="AZ289" s="71"/>
      <c r="BA289" s="71"/>
      <c r="BB289" s="71"/>
      <c r="BC289" s="71"/>
      <c r="BD289" s="71"/>
      <c r="BE289" s="71"/>
      <c r="BF289" s="71"/>
      <c r="BG289" s="71"/>
      <c r="BH289" s="71"/>
      <c r="BI289" s="71"/>
      <c r="BJ289" s="71"/>
      <c r="BK289" s="71"/>
      <c r="BL289" s="71"/>
      <c r="BM289" s="71"/>
      <c r="BN289" s="71"/>
    </row>
    <row r="290" spans="1:66" ht="12.7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10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  <c r="AT290" s="71"/>
      <c r="AU290" s="71"/>
      <c r="AV290" s="71"/>
      <c r="AW290" s="71"/>
      <c r="AX290" s="71"/>
      <c r="AY290" s="71"/>
      <c r="AZ290" s="71"/>
      <c r="BA290" s="71"/>
      <c r="BB290" s="71"/>
      <c r="BC290" s="71"/>
      <c r="BD290" s="71"/>
      <c r="BE290" s="71"/>
      <c r="BF290" s="71"/>
      <c r="BG290" s="71"/>
      <c r="BH290" s="71"/>
      <c r="BI290" s="71"/>
      <c r="BJ290" s="71"/>
      <c r="BK290" s="71"/>
      <c r="BL290" s="71"/>
      <c r="BM290" s="71"/>
      <c r="BN290" s="71"/>
    </row>
    <row r="291" spans="1:66" ht="12.7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10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</row>
    <row r="292" spans="1:66" ht="12.7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10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</row>
    <row r="293" spans="1:66" ht="12.7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10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</row>
    <row r="294" spans="1:66" ht="12.7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10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</row>
    <row r="295" spans="1:66" ht="12.7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10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</row>
    <row r="296" spans="1:66" ht="12.7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10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</row>
    <row r="297" spans="1:66" ht="12.7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10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</row>
    <row r="298" spans="1:66" ht="12.7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10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</row>
    <row r="299" spans="1:66" ht="12.7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10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  <c r="AR299" s="71"/>
      <c r="AS299" s="71"/>
      <c r="AT299" s="71"/>
      <c r="AU299" s="71"/>
      <c r="AV299" s="71"/>
      <c r="AW299" s="71"/>
      <c r="AX299" s="71"/>
      <c r="AY299" s="71"/>
      <c r="AZ299" s="71"/>
      <c r="BA299" s="71"/>
      <c r="BB299" s="71"/>
      <c r="BC299" s="71"/>
      <c r="BD299" s="71"/>
      <c r="BE299" s="71"/>
      <c r="BF299" s="71"/>
      <c r="BG299" s="71"/>
      <c r="BH299" s="71"/>
      <c r="BI299" s="71"/>
      <c r="BJ299" s="71"/>
      <c r="BK299" s="71"/>
      <c r="BL299" s="71"/>
      <c r="BM299" s="71"/>
      <c r="BN299" s="71"/>
    </row>
    <row r="300" spans="1:66" ht="12.7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10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  <c r="AR300" s="71"/>
      <c r="AS300" s="71"/>
      <c r="AT300" s="71"/>
      <c r="AU300" s="71"/>
      <c r="AV300" s="71"/>
      <c r="AW300" s="71"/>
      <c r="AX300" s="71"/>
      <c r="AY300" s="71"/>
      <c r="AZ300" s="71"/>
      <c r="BA300" s="71"/>
      <c r="BB300" s="71"/>
      <c r="BC300" s="71"/>
      <c r="BD300" s="71"/>
      <c r="BE300" s="71"/>
      <c r="BF300" s="71"/>
      <c r="BG300" s="71"/>
      <c r="BH300" s="71"/>
      <c r="BI300" s="71"/>
      <c r="BJ300" s="71"/>
      <c r="BK300" s="71"/>
      <c r="BL300" s="71"/>
      <c r="BM300" s="71"/>
      <c r="BN300" s="71"/>
    </row>
    <row r="301" spans="1:66" ht="12.7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10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  <c r="AR301" s="71"/>
      <c r="AS301" s="71"/>
      <c r="AT301" s="71"/>
      <c r="AU301" s="71"/>
      <c r="AV301" s="71"/>
      <c r="AW301" s="71"/>
      <c r="AX301" s="71"/>
      <c r="AY301" s="71"/>
      <c r="AZ301" s="71"/>
      <c r="BA301" s="71"/>
      <c r="BB301" s="71"/>
      <c r="BC301" s="71"/>
      <c r="BD301" s="71"/>
      <c r="BE301" s="71"/>
      <c r="BF301" s="71"/>
      <c r="BG301" s="71"/>
      <c r="BH301" s="71"/>
      <c r="BI301" s="71"/>
      <c r="BJ301" s="71"/>
      <c r="BK301" s="71"/>
      <c r="BL301" s="71"/>
      <c r="BM301" s="71"/>
      <c r="BN301" s="71"/>
    </row>
    <row r="302" spans="1:66" ht="12.7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10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  <c r="AR302" s="71"/>
      <c r="AS302" s="71"/>
      <c r="AT302" s="71"/>
      <c r="AU302" s="71"/>
      <c r="AV302" s="71"/>
      <c r="AW302" s="71"/>
      <c r="AX302" s="71"/>
      <c r="AY302" s="71"/>
      <c r="AZ302" s="71"/>
      <c r="BA302" s="71"/>
      <c r="BB302" s="71"/>
      <c r="BC302" s="71"/>
      <c r="BD302" s="71"/>
      <c r="BE302" s="71"/>
      <c r="BF302" s="71"/>
      <c r="BG302" s="71"/>
      <c r="BH302" s="71"/>
      <c r="BI302" s="71"/>
      <c r="BJ302" s="71"/>
      <c r="BK302" s="71"/>
      <c r="BL302" s="71"/>
      <c r="BM302" s="71"/>
      <c r="BN302" s="71"/>
    </row>
    <row r="303" spans="1:66" ht="12.7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10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  <c r="AR303" s="71"/>
      <c r="AS303" s="71"/>
      <c r="AT303" s="71"/>
      <c r="AU303" s="71"/>
      <c r="AV303" s="71"/>
      <c r="AW303" s="71"/>
      <c r="AX303" s="71"/>
      <c r="AY303" s="71"/>
      <c r="AZ303" s="71"/>
      <c r="BA303" s="71"/>
      <c r="BB303" s="71"/>
      <c r="BC303" s="71"/>
      <c r="BD303" s="71"/>
      <c r="BE303" s="71"/>
      <c r="BF303" s="71"/>
      <c r="BG303" s="71"/>
      <c r="BH303" s="71"/>
      <c r="BI303" s="71"/>
      <c r="BJ303" s="71"/>
      <c r="BK303" s="71"/>
      <c r="BL303" s="71"/>
      <c r="BM303" s="71"/>
      <c r="BN303" s="71"/>
    </row>
    <row r="304" spans="1:66" ht="12.7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10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  <c r="AR304" s="71"/>
      <c r="AS304" s="71"/>
      <c r="AT304" s="71"/>
      <c r="AU304" s="71"/>
      <c r="AV304" s="71"/>
      <c r="AW304" s="71"/>
      <c r="AX304" s="71"/>
      <c r="AY304" s="71"/>
      <c r="AZ304" s="71"/>
      <c r="BA304" s="71"/>
      <c r="BB304" s="71"/>
      <c r="BC304" s="71"/>
      <c r="BD304" s="71"/>
      <c r="BE304" s="71"/>
      <c r="BF304" s="71"/>
      <c r="BG304" s="71"/>
      <c r="BH304" s="71"/>
      <c r="BI304" s="71"/>
      <c r="BJ304" s="71"/>
      <c r="BK304" s="71"/>
      <c r="BL304" s="71"/>
      <c r="BM304" s="71"/>
      <c r="BN304" s="71"/>
    </row>
    <row r="305" spans="1:66" ht="12.7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10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  <c r="AR305" s="71"/>
      <c r="AS305" s="71"/>
      <c r="AT305" s="71"/>
      <c r="AU305" s="71"/>
      <c r="AV305" s="71"/>
      <c r="AW305" s="71"/>
      <c r="AX305" s="71"/>
      <c r="AY305" s="71"/>
      <c r="AZ305" s="71"/>
      <c r="BA305" s="71"/>
      <c r="BB305" s="71"/>
      <c r="BC305" s="71"/>
      <c r="BD305" s="71"/>
      <c r="BE305" s="71"/>
      <c r="BF305" s="71"/>
      <c r="BG305" s="71"/>
      <c r="BH305" s="71"/>
      <c r="BI305" s="71"/>
      <c r="BJ305" s="71"/>
      <c r="BK305" s="71"/>
      <c r="BL305" s="71"/>
      <c r="BM305" s="71"/>
      <c r="BN305" s="71"/>
    </row>
    <row r="306" spans="1:66" ht="12.7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10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  <c r="AR306" s="71"/>
      <c r="AS306" s="71"/>
      <c r="AT306" s="71"/>
      <c r="AU306" s="71"/>
      <c r="AV306" s="71"/>
      <c r="AW306" s="71"/>
      <c r="AX306" s="71"/>
      <c r="AY306" s="71"/>
      <c r="AZ306" s="71"/>
      <c r="BA306" s="71"/>
      <c r="BB306" s="71"/>
      <c r="BC306" s="71"/>
      <c r="BD306" s="71"/>
      <c r="BE306" s="71"/>
      <c r="BF306" s="71"/>
      <c r="BG306" s="71"/>
      <c r="BH306" s="71"/>
      <c r="BI306" s="71"/>
      <c r="BJ306" s="71"/>
      <c r="BK306" s="71"/>
      <c r="BL306" s="71"/>
      <c r="BM306" s="71"/>
      <c r="BN306" s="71"/>
    </row>
    <row r="307" spans="1:66" ht="12.7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10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  <c r="AR307" s="71"/>
      <c r="AS307" s="71"/>
      <c r="AT307" s="71"/>
      <c r="AU307" s="71"/>
      <c r="AV307" s="71"/>
      <c r="AW307" s="71"/>
      <c r="AX307" s="71"/>
      <c r="AY307" s="71"/>
      <c r="AZ307" s="71"/>
      <c r="BA307" s="71"/>
      <c r="BB307" s="71"/>
      <c r="BC307" s="71"/>
      <c r="BD307" s="71"/>
      <c r="BE307" s="71"/>
      <c r="BF307" s="71"/>
      <c r="BG307" s="71"/>
      <c r="BH307" s="71"/>
      <c r="BI307" s="71"/>
      <c r="BJ307" s="71"/>
      <c r="BK307" s="71"/>
      <c r="BL307" s="71"/>
      <c r="BM307" s="71"/>
      <c r="BN307" s="71"/>
    </row>
    <row r="308" spans="1:66" ht="12.7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10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  <c r="AR308" s="71"/>
      <c r="AS308" s="71"/>
      <c r="AT308" s="71"/>
      <c r="AU308" s="71"/>
      <c r="AV308" s="71"/>
      <c r="AW308" s="71"/>
      <c r="AX308" s="71"/>
      <c r="AY308" s="71"/>
      <c r="AZ308" s="71"/>
      <c r="BA308" s="71"/>
      <c r="BB308" s="71"/>
      <c r="BC308" s="71"/>
      <c r="BD308" s="71"/>
      <c r="BE308" s="71"/>
      <c r="BF308" s="71"/>
      <c r="BG308" s="71"/>
      <c r="BH308" s="71"/>
      <c r="BI308" s="71"/>
      <c r="BJ308" s="71"/>
      <c r="BK308" s="71"/>
      <c r="BL308" s="71"/>
      <c r="BM308" s="71"/>
      <c r="BN308" s="71"/>
    </row>
    <row r="309" spans="1:66" ht="12.7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10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  <c r="AR309" s="71"/>
      <c r="AS309" s="71"/>
      <c r="AT309" s="71"/>
      <c r="AU309" s="71"/>
      <c r="AV309" s="71"/>
      <c r="AW309" s="71"/>
      <c r="AX309" s="71"/>
      <c r="AY309" s="71"/>
      <c r="AZ309" s="71"/>
      <c r="BA309" s="71"/>
      <c r="BB309" s="71"/>
      <c r="BC309" s="71"/>
      <c r="BD309" s="71"/>
      <c r="BE309" s="71"/>
      <c r="BF309" s="71"/>
      <c r="BG309" s="71"/>
      <c r="BH309" s="71"/>
      <c r="BI309" s="71"/>
      <c r="BJ309" s="71"/>
      <c r="BK309" s="71"/>
      <c r="BL309" s="71"/>
      <c r="BM309" s="71"/>
      <c r="BN309" s="71"/>
    </row>
    <row r="310" spans="1:66" ht="12.7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10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  <c r="AR310" s="71"/>
      <c r="AS310" s="71"/>
      <c r="AT310" s="71"/>
      <c r="AU310" s="71"/>
      <c r="AV310" s="71"/>
      <c r="AW310" s="71"/>
      <c r="AX310" s="71"/>
      <c r="AY310" s="71"/>
      <c r="AZ310" s="71"/>
      <c r="BA310" s="71"/>
      <c r="BB310" s="71"/>
      <c r="BC310" s="71"/>
      <c r="BD310" s="71"/>
      <c r="BE310" s="71"/>
      <c r="BF310" s="71"/>
      <c r="BG310" s="71"/>
      <c r="BH310" s="71"/>
      <c r="BI310" s="71"/>
      <c r="BJ310" s="71"/>
      <c r="BK310" s="71"/>
      <c r="BL310" s="71"/>
      <c r="BM310" s="71"/>
      <c r="BN310" s="71"/>
    </row>
    <row r="311" spans="1:66" ht="12.7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10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  <c r="AR311" s="71"/>
      <c r="AS311" s="71"/>
      <c r="AT311" s="71"/>
      <c r="AU311" s="71"/>
      <c r="AV311" s="71"/>
      <c r="AW311" s="71"/>
      <c r="AX311" s="71"/>
      <c r="AY311" s="71"/>
      <c r="AZ311" s="71"/>
      <c r="BA311" s="71"/>
      <c r="BB311" s="71"/>
      <c r="BC311" s="71"/>
      <c r="BD311" s="71"/>
      <c r="BE311" s="71"/>
      <c r="BF311" s="71"/>
      <c r="BG311" s="71"/>
      <c r="BH311" s="71"/>
      <c r="BI311" s="71"/>
      <c r="BJ311" s="71"/>
      <c r="BK311" s="71"/>
      <c r="BL311" s="71"/>
      <c r="BM311" s="71"/>
      <c r="BN311" s="71"/>
    </row>
    <row r="312" spans="1:66" ht="12.7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10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  <c r="AR312" s="71"/>
      <c r="AS312" s="71"/>
      <c r="AT312" s="71"/>
      <c r="AU312" s="71"/>
      <c r="AV312" s="71"/>
      <c r="AW312" s="71"/>
      <c r="AX312" s="71"/>
      <c r="AY312" s="71"/>
      <c r="AZ312" s="71"/>
      <c r="BA312" s="71"/>
      <c r="BB312" s="71"/>
      <c r="BC312" s="71"/>
      <c r="BD312" s="71"/>
      <c r="BE312" s="71"/>
      <c r="BF312" s="71"/>
      <c r="BG312" s="71"/>
      <c r="BH312" s="71"/>
      <c r="BI312" s="71"/>
      <c r="BJ312" s="71"/>
      <c r="BK312" s="71"/>
      <c r="BL312" s="71"/>
      <c r="BM312" s="71"/>
      <c r="BN312" s="71"/>
    </row>
    <row r="313" spans="1:66" ht="12.7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10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  <c r="AR313" s="71"/>
      <c r="AS313" s="71"/>
      <c r="AT313" s="71"/>
      <c r="AU313" s="71"/>
      <c r="AV313" s="71"/>
      <c r="AW313" s="71"/>
      <c r="AX313" s="71"/>
      <c r="AY313" s="71"/>
      <c r="AZ313" s="71"/>
      <c r="BA313" s="71"/>
      <c r="BB313" s="71"/>
      <c r="BC313" s="71"/>
      <c r="BD313" s="71"/>
      <c r="BE313" s="71"/>
      <c r="BF313" s="71"/>
      <c r="BG313" s="71"/>
      <c r="BH313" s="71"/>
      <c r="BI313" s="71"/>
      <c r="BJ313" s="71"/>
      <c r="BK313" s="71"/>
      <c r="BL313" s="71"/>
      <c r="BM313" s="71"/>
      <c r="BN313" s="71"/>
    </row>
    <row r="314" spans="1:66" ht="12.7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10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  <c r="AR314" s="71"/>
      <c r="AS314" s="71"/>
      <c r="AT314" s="71"/>
      <c r="AU314" s="71"/>
      <c r="AV314" s="71"/>
      <c r="AW314" s="71"/>
      <c r="AX314" s="71"/>
      <c r="AY314" s="71"/>
      <c r="AZ314" s="71"/>
      <c r="BA314" s="71"/>
      <c r="BB314" s="71"/>
      <c r="BC314" s="71"/>
      <c r="BD314" s="71"/>
      <c r="BE314" s="71"/>
      <c r="BF314" s="71"/>
      <c r="BG314" s="71"/>
      <c r="BH314" s="71"/>
      <c r="BI314" s="71"/>
      <c r="BJ314" s="71"/>
      <c r="BK314" s="71"/>
      <c r="BL314" s="71"/>
      <c r="BM314" s="71"/>
      <c r="BN314" s="71"/>
    </row>
    <row r="315" spans="1:66" ht="12.7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10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1"/>
      <c r="BD315" s="71"/>
      <c r="BE315" s="71"/>
      <c r="BF315" s="71"/>
      <c r="BG315" s="71"/>
      <c r="BH315" s="71"/>
      <c r="BI315" s="71"/>
      <c r="BJ315" s="71"/>
      <c r="BK315" s="71"/>
      <c r="BL315" s="71"/>
      <c r="BM315" s="71"/>
      <c r="BN315" s="71"/>
    </row>
    <row r="316" spans="1:66" ht="12.7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10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1"/>
      <c r="BD316" s="71"/>
      <c r="BE316" s="71"/>
      <c r="BF316" s="71"/>
      <c r="BG316" s="71"/>
      <c r="BH316" s="71"/>
      <c r="BI316" s="71"/>
      <c r="BJ316" s="71"/>
      <c r="BK316" s="71"/>
      <c r="BL316" s="71"/>
      <c r="BM316" s="71"/>
      <c r="BN316" s="71"/>
    </row>
    <row r="317" spans="1:66" ht="12.7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10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1"/>
      <c r="BD317" s="71"/>
      <c r="BE317" s="71"/>
      <c r="BF317" s="71"/>
      <c r="BG317" s="71"/>
      <c r="BH317" s="71"/>
      <c r="BI317" s="71"/>
      <c r="BJ317" s="71"/>
      <c r="BK317" s="71"/>
      <c r="BL317" s="71"/>
      <c r="BM317" s="71"/>
      <c r="BN317" s="71"/>
    </row>
    <row r="318" spans="1:66" ht="12.7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10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  <c r="AR318" s="71"/>
      <c r="AS318" s="71"/>
      <c r="AT318" s="71"/>
      <c r="AU318" s="71"/>
      <c r="AV318" s="71"/>
      <c r="AW318" s="71"/>
      <c r="AX318" s="71"/>
      <c r="AY318" s="71"/>
      <c r="AZ318" s="71"/>
      <c r="BA318" s="71"/>
      <c r="BB318" s="71"/>
      <c r="BC318" s="71"/>
      <c r="BD318" s="71"/>
      <c r="BE318" s="71"/>
      <c r="BF318" s="71"/>
      <c r="BG318" s="71"/>
      <c r="BH318" s="71"/>
      <c r="BI318" s="71"/>
      <c r="BJ318" s="71"/>
      <c r="BK318" s="71"/>
      <c r="BL318" s="71"/>
      <c r="BM318" s="71"/>
      <c r="BN318" s="71"/>
    </row>
    <row r="319" spans="1:66" ht="12.7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10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  <c r="AR319" s="71"/>
      <c r="AS319" s="71"/>
      <c r="AT319" s="71"/>
      <c r="AU319" s="71"/>
      <c r="AV319" s="71"/>
      <c r="AW319" s="71"/>
      <c r="AX319" s="71"/>
      <c r="AY319" s="71"/>
      <c r="AZ319" s="71"/>
      <c r="BA319" s="71"/>
      <c r="BB319" s="71"/>
      <c r="BC319" s="71"/>
      <c r="BD319" s="71"/>
      <c r="BE319" s="71"/>
      <c r="BF319" s="71"/>
      <c r="BG319" s="71"/>
      <c r="BH319" s="71"/>
      <c r="BI319" s="71"/>
      <c r="BJ319" s="71"/>
      <c r="BK319" s="71"/>
      <c r="BL319" s="71"/>
      <c r="BM319" s="71"/>
      <c r="BN319" s="71"/>
    </row>
    <row r="320" spans="1:66" ht="12.7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10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  <c r="AR320" s="71"/>
      <c r="AS320" s="71"/>
      <c r="AT320" s="71"/>
      <c r="AU320" s="71"/>
      <c r="AV320" s="71"/>
      <c r="AW320" s="71"/>
      <c r="AX320" s="71"/>
      <c r="AY320" s="71"/>
      <c r="AZ320" s="71"/>
      <c r="BA320" s="71"/>
      <c r="BB320" s="71"/>
      <c r="BC320" s="71"/>
      <c r="BD320" s="71"/>
      <c r="BE320" s="71"/>
      <c r="BF320" s="71"/>
      <c r="BG320" s="71"/>
      <c r="BH320" s="71"/>
      <c r="BI320" s="71"/>
      <c r="BJ320" s="71"/>
      <c r="BK320" s="71"/>
      <c r="BL320" s="71"/>
      <c r="BM320" s="71"/>
      <c r="BN320" s="71"/>
    </row>
    <row r="321" spans="1:66" ht="12.7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10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  <c r="AR321" s="71"/>
      <c r="AS321" s="71"/>
      <c r="AT321" s="71"/>
      <c r="AU321" s="71"/>
      <c r="AV321" s="71"/>
      <c r="AW321" s="71"/>
      <c r="AX321" s="71"/>
      <c r="AY321" s="71"/>
      <c r="AZ321" s="71"/>
      <c r="BA321" s="71"/>
      <c r="BB321" s="71"/>
      <c r="BC321" s="71"/>
      <c r="BD321" s="71"/>
      <c r="BE321" s="71"/>
      <c r="BF321" s="71"/>
      <c r="BG321" s="71"/>
      <c r="BH321" s="71"/>
      <c r="BI321" s="71"/>
      <c r="BJ321" s="71"/>
      <c r="BK321" s="71"/>
      <c r="BL321" s="71"/>
      <c r="BM321" s="71"/>
      <c r="BN321" s="71"/>
    </row>
    <row r="322" spans="1:66" ht="12.7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10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  <c r="AR322" s="71"/>
      <c r="AS322" s="71"/>
      <c r="AT322" s="71"/>
      <c r="AU322" s="71"/>
      <c r="AV322" s="71"/>
      <c r="AW322" s="71"/>
      <c r="AX322" s="71"/>
      <c r="AY322" s="71"/>
      <c r="AZ322" s="71"/>
      <c r="BA322" s="71"/>
      <c r="BB322" s="71"/>
      <c r="BC322" s="71"/>
      <c r="BD322" s="71"/>
      <c r="BE322" s="71"/>
      <c r="BF322" s="71"/>
      <c r="BG322" s="71"/>
      <c r="BH322" s="71"/>
      <c r="BI322" s="71"/>
      <c r="BJ322" s="71"/>
      <c r="BK322" s="71"/>
      <c r="BL322" s="71"/>
      <c r="BM322" s="71"/>
      <c r="BN322" s="71"/>
    </row>
    <row r="323" spans="1:66" ht="12.7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10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  <c r="AR323" s="71"/>
      <c r="AS323" s="71"/>
      <c r="AT323" s="71"/>
      <c r="AU323" s="71"/>
      <c r="AV323" s="71"/>
      <c r="AW323" s="71"/>
      <c r="AX323" s="71"/>
      <c r="AY323" s="71"/>
      <c r="AZ323" s="71"/>
      <c r="BA323" s="71"/>
      <c r="BB323" s="71"/>
      <c r="BC323" s="71"/>
      <c r="BD323" s="71"/>
      <c r="BE323" s="71"/>
      <c r="BF323" s="71"/>
      <c r="BG323" s="71"/>
      <c r="BH323" s="71"/>
      <c r="BI323" s="71"/>
      <c r="BJ323" s="71"/>
      <c r="BK323" s="71"/>
      <c r="BL323" s="71"/>
      <c r="BM323" s="71"/>
      <c r="BN323" s="71"/>
    </row>
    <row r="324" spans="1:66" ht="12.7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10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  <c r="AR324" s="71"/>
      <c r="AS324" s="71"/>
      <c r="AT324" s="71"/>
      <c r="AU324" s="71"/>
      <c r="AV324" s="71"/>
      <c r="AW324" s="71"/>
      <c r="AX324" s="71"/>
      <c r="AY324" s="71"/>
      <c r="AZ324" s="71"/>
      <c r="BA324" s="71"/>
      <c r="BB324" s="71"/>
      <c r="BC324" s="71"/>
      <c r="BD324" s="71"/>
      <c r="BE324" s="71"/>
      <c r="BF324" s="71"/>
      <c r="BG324" s="71"/>
      <c r="BH324" s="71"/>
      <c r="BI324" s="71"/>
      <c r="BJ324" s="71"/>
      <c r="BK324" s="71"/>
      <c r="BL324" s="71"/>
      <c r="BM324" s="71"/>
      <c r="BN324" s="71"/>
    </row>
    <row r="325" spans="1:66" ht="12.7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10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  <c r="AR325" s="71"/>
      <c r="AS325" s="71"/>
      <c r="AT325" s="71"/>
      <c r="AU325" s="71"/>
      <c r="AV325" s="71"/>
      <c r="AW325" s="71"/>
      <c r="AX325" s="71"/>
      <c r="AY325" s="71"/>
      <c r="AZ325" s="71"/>
      <c r="BA325" s="71"/>
      <c r="BB325" s="71"/>
      <c r="BC325" s="71"/>
      <c r="BD325" s="71"/>
      <c r="BE325" s="71"/>
      <c r="BF325" s="71"/>
      <c r="BG325" s="71"/>
      <c r="BH325" s="71"/>
      <c r="BI325" s="71"/>
      <c r="BJ325" s="71"/>
      <c r="BK325" s="71"/>
      <c r="BL325" s="71"/>
      <c r="BM325" s="71"/>
      <c r="BN325" s="71"/>
    </row>
    <row r="326" spans="1:66" ht="12.7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10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  <c r="AR326" s="71"/>
      <c r="AS326" s="71"/>
      <c r="AT326" s="71"/>
      <c r="AU326" s="71"/>
      <c r="AV326" s="71"/>
      <c r="AW326" s="71"/>
      <c r="AX326" s="71"/>
      <c r="AY326" s="71"/>
      <c r="AZ326" s="71"/>
      <c r="BA326" s="71"/>
      <c r="BB326" s="71"/>
      <c r="BC326" s="71"/>
      <c r="BD326" s="71"/>
      <c r="BE326" s="71"/>
      <c r="BF326" s="71"/>
      <c r="BG326" s="71"/>
      <c r="BH326" s="71"/>
      <c r="BI326" s="71"/>
      <c r="BJ326" s="71"/>
      <c r="BK326" s="71"/>
      <c r="BL326" s="71"/>
      <c r="BM326" s="71"/>
      <c r="BN326" s="71"/>
    </row>
    <row r="327" spans="1:66" ht="12.7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10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  <c r="AR327" s="71"/>
      <c r="AS327" s="71"/>
      <c r="AT327" s="71"/>
      <c r="AU327" s="71"/>
      <c r="AV327" s="71"/>
      <c r="AW327" s="71"/>
      <c r="AX327" s="71"/>
      <c r="AY327" s="71"/>
      <c r="AZ327" s="71"/>
      <c r="BA327" s="71"/>
      <c r="BB327" s="71"/>
      <c r="BC327" s="71"/>
      <c r="BD327" s="71"/>
      <c r="BE327" s="71"/>
      <c r="BF327" s="71"/>
      <c r="BG327" s="71"/>
      <c r="BH327" s="71"/>
      <c r="BI327" s="71"/>
      <c r="BJ327" s="71"/>
      <c r="BK327" s="71"/>
      <c r="BL327" s="71"/>
      <c r="BM327" s="71"/>
      <c r="BN327" s="71"/>
    </row>
    <row r="328" spans="1:66" ht="12.7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10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  <c r="AR328" s="71"/>
      <c r="AS328" s="71"/>
      <c r="AT328" s="71"/>
      <c r="AU328" s="71"/>
      <c r="AV328" s="71"/>
      <c r="AW328" s="71"/>
      <c r="AX328" s="71"/>
      <c r="AY328" s="71"/>
      <c r="AZ328" s="71"/>
      <c r="BA328" s="71"/>
      <c r="BB328" s="71"/>
      <c r="BC328" s="71"/>
      <c r="BD328" s="71"/>
      <c r="BE328" s="71"/>
      <c r="BF328" s="71"/>
      <c r="BG328" s="71"/>
      <c r="BH328" s="71"/>
      <c r="BI328" s="71"/>
      <c r="BJ328" s="71"/>
      <c r="BK328" s="71"/>
      <c r="BL328" s="71"/>
      <c r="BM328" s="71"/>
      <c r="BN328" s="71"/>
    </row>
    <row r="329" spans="1:66" ht="12.7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10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  <c r="AR329" s="71"/>
      <c r="AS329" s="71"/>
      <c r="AT329" s="71"/>
      <c r="AU329" s="71"/>
      <c r="AV329" s="71"/>
      <c r="AW329" s="71"/>
      <c r="AX329" s="71"/>
      <c r="AY329" s="71"/>
      <c r="AZ329" s="71"/>
      <c r="BA329" s="71"/>
      <c r="BB329" s="71"/>
      <c r="BC329" s="71"/>
      <c r="BD329" s="71"/>
      <c r="BE329" s="71"/>
      <c r="BF329" s="71"/>
      <c r="BG329" s="71"/>
      <c r="BH329" s="71"/>
      <c r="BI329" s="71"/>
      <c r="BJ329" s="71"/>
      <c r="BK329" s="71"/>
      <c r="BL329" s="71"/>
      <c r="BM329" s="71"/>
      <c r="BN329" s="71"/>
    </row>
    <row r="330" spans="1:66" ht="12.7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10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  <c r="AR330" s="71"/>
      <c r="AS330" s="71"/>
      <c r="AT330" s="71"/>
      <c r="AU330" s="71"/>
      <c r="AV330" s="71"/>
      <c r="AW330" s="71"/>
      <c r="AX330" s="71"/>
      <c r="AY330" s="71"/>
      <c r="AZ330" s="71"/>
      <c r="BA330" s="71"/>
      <c r="BB330" s="71"/>
      <c r="BC330" s="71"/>
      <c r="BD330" s="71"/>
      <c r="BE330" s="71"/>
      <c r="BF330" s="71"/>
      <c r="BG330" s="71"/>
      <c r="BH330" s="71"/>
      <c r="BI330" s="71"/>
      <c r="BJ330" s="71"/>
      <c r="BK330" s="71"/>
      <c r="BL330" s="71"/>
      <c r="BM330" s="71"/>
      <c r="BN330" s="71"/>
    </row>
    <row r="331" spans="1:66" ht="12.7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10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  <c r="AR331" s="71"/>
      <c r="AS331" s="71"/>
      <c r="AT331" s="71"/>
      <c r="AU331" s="71"/>
      <c r="AV331" s="71"/>
      <c r="AW331" s="71"/>
      <c r="AX331" s="71"/>
      <c r="AY331" s="71"/>
      <c r="AZ331" s="71"/>
      <c r="BA331" s="71"/>
      <c r="BB331" s="71"/>
      <c r="BC331" s="71"/>
      <c r="BD331" s="71"/>
      <c r="BE331" s="71"/>
      <c r="BF331" s="71"/>
      <c r="BG331" s="71"/>
      <c r="BH331" s="71"/>
      <c r="BI331" s="71"/>
      <c r="BJ331" s="71"/>
      <c r="BK331" s="71"/>
      <c r="BL331" s="71"/>
      <c r="BM331" s="71"/>
      <c r="BN331" s="71"/>
    </row>
    <row r="332" spans="1:66" ht="12.7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10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  <c r="AR332" s="71"/>
      <c r="AS332" s="71"/>
      <c r="AT332" s="71"/>
      <c r="AU332" s="71"/>
      <c r="AV332" s="71"/>
      <c r="AW332" s="71"/>
      <c r="AX332" s="71"/>
      <c r="AY332" s="71"/>
      <c r="AZ332" s="71"/>
      <c r="BA332" s="71"/>
      <c r="BB332" s="71"/>
      <c r="BC332" s="71"/>
      <c r="BD332" s="71"/>
      <c r="BE332" s="71"/>
      <c r="BF332" s="71"/>
      <c r="BG332" s="71"/>
      <c r="BH332" s="71"/>
      <c r="BI332" s="71"/>
      <c r="BJ332" s="71"/>
      <c r="BK332" s="71"/>
      <c r="BL332" s="71"/>
      <c r="BM332" s="71"/>
      <c r="BN332" s="71"/>
    </row>
    <row r="333" spans="1:66" ht="12.7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10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  <c r="AR333" s="71"/>
      <c r="AS333" s="71"/>
      <c r="AT333" s="71"/>
      <c r="AU333" s="71"/>
      <c r="AV333" s="71"/>
      <c r="AW333" s="71"/>
      <c r="AX333" s="71"/>
      <c r="AY333" s="71"/>
      <c r="AZ333" s="71"/>
      <c r="BA333" s="71"/>
      <c r="BB333" s="71"/>
      <c r="BC333" s="71"/>
      <c r="BD333" s="71"/>
      <c r="BE333" s="71"/>
      <c r="BF333" s="71"/>
      <c r="BG333" s="71"/>
      <c r="BH333" s="71"/>
      <c r="BI333" s="71"/>
      <c r="BJ333" s="71"/>
      <c r="BK333" s="71"/>
      <c r="BL333" s="71"/>
      <c r="BM333" s="71"/>
      <c r="BN333" s="71"/>
    </row>
    <row r="334" spans="1:66" ht="12.7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10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  <c r="AR334" s="71"/>
      <c r="AS334" s="71"/>
      <c r="AT334" s="71"/>
      <c r="AU334" s="71"/>
      <c r="AV334" s="71"/>
      <c r="AW334" s="71"/>
      <c r="AX334" s="71"/>
      <c r="AY334" s="71"/>
      <c r="AZ334" s="71"/>
      <c r="BA334" s="71"/>
      <c r="BB334" s="71"/>
      <c r="BC334" s="71"/>
      <c r="BD334" s="71"/>
      <c r="BE334" s="71"/>
      <c r="BF334" s="71"/>
      <c r="BG334" s="71"/>
      <c r="BH334" s="71"/>
      <c r="BI334" s="71"/>
      <c r="BJ334" s="71"/>
      <c r="BK334" s="71"/>
      <c r="BL334" s="71"/>
      <c r="BM334" s="71"/>
      <c r="BN334" s="71"/>
    </row>
    <row r="335" spans="1:66" ht="12.7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10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  <c r="AR335" s="71"/>
      <c r="AS335" s="71"/>
      <c r="AT335" s="71"/>
      <c r="AU335" s="71"/>
      <c r="AV335" s="71"/>
      <c r="AW335" s="71"/>
      <c r="AX335" s="71"/>
      <c r="AY335" s="71"/>
      <c r="AZ335" s="71"/>
      <c r="BA335" s="71"/>
      <c r="BB335" s="71"/>
      <c r="BC335" s="71"/>
      <c r="BD335" s="71"/>
      <c r="BE335" s="71"/>
      <c r="BF335" s="71"/>
      <c r="BG335" s="71"/>
      <c r="BH335" s="71"/>
      <c r="BI335" s="71"/>
      <c r="BJ335" s="71"/>
      <c r="BK335" s="71"/>
      <c r="BL335" s="71"/>
      <c r="BM335" s="71"/>
      <c r="BN335" s="71"/>
    </row>
    <row r="336" spans="1:66" ht="12.7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10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  <c r="AR336" s="71"/>
      <c r="AS336" s="71"/>
      <c r="AT336" s="71"/>
      <c r="AU336" s="71"/>
      <c r="AV336" s="71"/>
      <c r="AW336" s="71"/>
      <c r="AX336" s="71"/>
      <c r="AY336" s="71"/>
      <c r="AZ336" s="71"/>
      <c r="BA336" s="71"/>
      <c r="BB336" s="71"/>
      <c r="BC336" s="71"/>
      <c r="BD336" s="71"/>
      <c r="BE336" s="71"/>
      <c r="BF336" s="71"/>
      <c r="BG336" s="71"/>
      <c r="BH336" s="71"/>
      <c r="BI336" s="71"/>
      <c r="BJ336" s="71"/>
      <c r="BK336" s="71"/>
      <c r="BL336" s="71"/>
      <c r="BM336" s="71"/>
      <c r="BN336" s="71"/>
    </row>
    <row r="337" spans="1:66" ht="12.7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10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  <c r="AR337" s="71"/>
      <c r="AS337" s="71"/>
      <c r="AT337" s="71"/>
      <c r="AU337" s="71"/>
      <c r="AV337" s="71"/>
      <c r="AW337" s="71"/>
      <c r="AX337" s="71"/>
      <c r="AY337" s="71"/>
      <c r="AZ337" s="71"/>
      <c r="BA337" s="71"/>
      <c r="BB337" s="71"/>
      <c r="BC337" s="71"/>
      <c r="BD337" s="71"/>
      <c r="BE337" s="71"/>
      <c r="BF337" s="71"/>
      <c r="BG337" s="71"/>
      <c r="BH337" s="71"/>
      <c r="BI337" s="71"/>
      <c r="BJ337" s="71"/>
      <c r="BK337" s="71"/>
      <c r="BL337" s="71"/>
      <c r="BM337" s="71"/>
      <c r="BN337" s="71"/>
    </row>
    <row r="338" spans="1:66" ht="12.7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10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  <c r="AR338" s="71"/>
      <c r="AS338" s="71"/>
      <c r="AT338" s="71"/>
      <c r="AU338" s="71"/>
      <c r="AV338" s="71"/>
      <c r="AW338" s="71"/>
      <c r="AX338" s="71"/>
      <c r="AY338" s="71"/>
      <c r="AZ338" s="71"/>
      <c r="BA338" s="71"/>
      <c r="BB338" s="71"/>
      <c r="BC338" s="71"/>
      <c r="BD338" s="71"/>
      <c r="BE338" s="71"/>
      <c r="BF338" s="71"/>
      <c r="BG338" s="71"/>
      <c r="BH338" s="71"/>
      <c r="BI338" s="71"/>
      <c r="BJ338" s="71"/>
      <c r="BK338" s="71"/>
      <c r="BL338" s="71"/>
      <c r="BM338" s="71"/>
      <c r="BN338" s="71"/>
    </row>
    <row r="339" spans="1:66" ht="12.7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10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  <c r="AR339" s="71"/>
      <c r="AS339" s="71"/>
      <c r="AT339" s="71"/>
      <c r="AU339" s="71"/>
      <c r="AV339" s="71"/>
      <c r="AW339" s="71"/>
      <c r="AX339" s="71"/>
      <c r="AY339" s="71"/>
      <c r="AZ339" s="71"/>
      <c r="BA339" s="71"/>
      <c r="BB339" s="71"/>
      <c r="BC339" s="71"/>
      <c r="BD339" s="71"/>
      <c r="BE339" s="71"/>
      <c r="BF339" s="71"/>
      <c r="BG339" s="71"/>
      <c r="BH339" s="71"/>
      <c r="BI339" s="71"/>
      <c r="BJ339" s="71"/>
      <c r="BK339" s="71"/>
      <c r="BL339" s="71"/>
      <c r="BM339" s="71"/>
      <c r="BN339" s="71"/>
    </row>
    <row r="340" spans="1:66" ht="12.7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10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  <c r="AR340" s="71"/>
      <c r="AS340" s="71"/>
      <c r="AT340" s="71"/>
      <c r="AU340" s="71"/>
      <c r="AV340" s="71"/>
      <c r="AW340" s="71"/>
      <c r="AX340" s="71"/>
      <c r="AY340" s="71"/>
      <c r="AZ340" s="71"/>
      <c r="BA340" s="71"/>
      <c r="BB340" s="71"/>
      <c r="BC340" s="71"/>
      <c r="BD340" s="71"/>
      <c r="BE340" s="71"/>
      <c r="BF340" s="71"/>
      <c r="BG340" s="71"/>
      <c r="BH340" s="71"/>
      <c r="BI340" s="71"/>
      <c r="BJ340" s="71"/>
      <c r="BK340" s="71"/>
      <c r="BL340" s="71"/>
      <c r="BM340" s="71"/>
      <c r="BN340" s="71"/>
    </row>
    <row r="341" spans="1:66" ht="12.7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10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  <c r="AT341" s="71"/>
      <c r="AU341" s="71"/>
      <c r="AV341" s="71"/>
      <c r="AW341" s="71"/>
      <c r="AX341" s="71"/>
      <c r="AY341" s="71"/>
      <c r="AZ341" s="71"/>
      <c r="BA341" s="71"/>
      <c r="BB341" s="71"/>
      <c r="BC341" s="71"/>
      <c r="BD341" s="71"/>
      <c r="BE341" s="71"/>
      <c r="BF341" s="71"/>
      <c r="BG341" s="71"/>
      <c r="BH341" s="71"/>
      <c r="BI341" s="71"/>
      <c r="BJ341" s="71"/>
      <c r="BK341" s="71"/>
      <c r="BL341" s="71"/>
      <c r="BM341" s="71"/>
      <c r="BN341" s="71"/>
    </row>
    <row r="342" spans="1:66" ht="12.7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10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  <c r="AT342" s="71"/>
      <c r="AU342" s="71"/>
      <c r="AV342" s="71"/>
      <c r="AW342" s="71"/>
      <c r="AX342" s="71"/>
      <c r="AY342" s="71"/>
      <c r="AZ342" s="71"/>
      <c r="BA342" s="71"/>
      <c r="BB342" s="71"/>
      <c r="BC342" s="71"/>
      <c r="BD342" s="71"/>
      <c r="BE342" s="71"/>
      <c r="BF342" s="71"/>
      <c r="BG342" s="71"/>
      <c r="BH342" s="71"/>
      <c r="BI342" s="71"/>
      <c r="BJ342" s="71"/>
      <c r="BK342" s="71"/>
      <c r="BL342" s="71"/>
      <c r="BM342" s="71"/>
      <c r="BN342" s="71"/>
    </row>
    <row r="343" spans="1:66" ht="12.7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10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  <c r="AT343" s="71"/>
      <c r="AU343" s="71"/>
      <c r="AV343" s="71"/>
      <c r="AW343" s="71"/>
      <c r="AX343" s="71"/>
      <c r="AY343" s="71"/>
      <c r="AZ343" s="71"/>
      <c r="BA343" s="71"/>
      <c r="BB343" s="71"/>
      <c r="BC343" s="71"/>
      <c r="BD343" s="71"/>
      <c r="BE343" s="71"/>
      <c r="BF343" s="71"/>
      <c r="BG343" s="71"/>
      <c r="BH343" s="71"/>
      <c r="BI343" s="71"/>
      <c r="BJ343" s="71"/>
      <c r="BK343" s="71"/>
      <c r="BL343" s="71"/>
      <c r="BM343" s="71"/>
      <c r="BN343" s="71"/>
    </row>
    <row r="344" spans="1:66" ht="12.7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10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  <c r="AT344" s="71"/>
      <c r="AU344" s="71"/>
      <c r="AV344" s="71"/>
      <c r="AW344" s="71"/>
      <c r="AX344" s="71"/>
      <c r="AY344" s="71"/>
      <c r="AZ344" s="71"/>
      <c r="BA344" s="71"/>
      <c r="BB344" s="71"/>
      <c r="BC344" s="71"/>
      <c r="BD344" s="71"/>
      <c r="BE344" s="71"/>
      <c r="BF344" s="71"/>
      <c r="BG344" s="71"/>
      <c r="BH344" s="71"/>
      <c r="BI344" s="71"/>
      <c r="BJ344" s="71"/>
      <c r="BK344" s="71"/>
      <c r="BL344" s="71"/>
      <c r="BM344" s="71"/>
      <c r="BN344" s="71"/>
    </row>
    <row r="345" spans="1:66" ht="12.7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10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  <c r="AT345" s="71"/>
      <c r="AU345" s="71"/>
      <c r="AV345" s="71"/>
      <c r="AW345" s="71"/>
      <c r="AX345" s="71"/>
      <c r="AY345" s="71"/>
      <c r="AZ345" s="71"/>
      <c r="BA345" s="71"/>
      <c r="BB345" s="71"/>
      <c r="BC345" s="71"/>
      <c r="BD345" s="71"/>
      <c r="BE345" s="71"/>
      <c r="BF345" s="71"/>
      <c r="BG345" s="71"/>
      <c r="BH345" s="71"/>
      <c r="BI345" s="71"/>
      <c r="BJ345" s="71"/>
      <c r="BK345" s="71"/>
      <c r="BL345" s="71"/>
      <c r="BM345" s="71"/>
      <c r="BN345" s="71"/>
    </row>
    <row r="346" spans="1:66" ht="12.7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10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  <c r="AT346" s="71"/>
      <c r="AU346" s="71"/>
      <c r="AV346" s="71"/>
      <c r="AW346" s="71"/>
      <c r="AX346" s="71"/>
      <c r="AY346" s="71"/>
      <c r="AZ346" s="71"/>
      <c r="BA346" s="71"/>
      <c r="BB346" s="71"/>
      <c r="BC346" s="71"/>
      <c r="BD346" s="71"/>
      <c r="BE346" s="71"/>
      <c r="BF346" s="71"/>
      <c r="BG346" s="71"/>
      <c r="BH346" s="71"/>
      <c r="BI346" s="71"/>
      <c r="BJ346" s="71"/>
      <c r="BK346" s="71"/>
      <c r="BL346" s="71"/>
      <c r="BM346" s="71"/>
      <c r="BN346" s="71"/>
    </row>
    <row r="347" spans="1:66" ht="12.7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10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  <c r="AT347" s="71"/>
      <c r="AU347" s="71"/>
      <c r="AV347" s="71"/>
      <c r="AW347" s="71"/>
      <c r="AX347" s="71"/>
      <c r="AY347" s="71"/>
      <c r="AZ347" s="71"/>
      <c r="BA347" s="71"/>
      <c r="BB347" s="71"/>
      <c r="BC347" s="71"/>
      <c r="BD347" s="71"/>
      <c r="BE347" s="71"/>
      <c r="BF347" s="71"/>
      <c r="BG347" s="71"/>
      <c r="BH347" s="71"/>
      <c r="BI347" s="71"/>
      <c r="BJ347" s="71"/>
      <c r="BK347" s="71"/>
      <c r="BL347" s="71"/>
      <c r="BM347" s="71"/>
      <c r="BN347" s="71"/>
    </row>
    <row r="348" spans="1:66" ht="12.7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10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  <c r="AT348" s="71"/>
      <c r="AU348" s="71"/>
      <c r="AV348" s="71"/>
      <c r="AW348" s="71"/>
      <c r="AX348" s="71"/>
      <c r="AY348" s="71"/>
      <c r="AZ348" s="71"/>
      <c r="BA348" s="71"/>
      <c r="BB348" s="71"/>
      <c r="BC348" s="71"/>
      <c r="BD348" s="71"/>
      <c r="BE348" s="71"/>
      <c r="BF348" s="71"/>
      <c r="BG348" s="71"/>
      <c r="BH348" s="71"/>
      <c r="BI348" s="71"/>
      <c r="BJ348" s="71"/>
      <c r="BK348" s="71"/>
      <c r="BL348" s="71"/>
      <c r="BM348" s="71"/>
      <c r="BN348" s="71"/>
    </row>
    <row r="349" spans="1:66" ht="12.7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10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  <c r="AT349" s="71"/>
      <c r="AU349" s="71"/>
      <c r="AV349" s="71"/>
      <c r="AW349" s="71"/>
      <c r="AX349" s="71"/>
      <c r="AY349" s="71"/>
      <c r="AZ349" s="71"/>
      <c r="BA349" s="71"/>
      <c r="BB349" s="71"/>
      <c r="BC349" s="71"/>
      <c r="BD349" s="71"/>
      <c r="BE349" s="71"/>
      <c r="BF349" s="71"/>
      <c r="BG349" s="71"/>
      <c r="BH349" s="71"/>
      <c r="BI349" s="71"/>
      <c r="BJ349" s="71"/>
      <c r="BK349" s="71"/>
      <c r="BL349" s="71"/>
      <c r="BM349" s="71"/>
      <c r="BN349" s="71"/>
    </row>
    <row r="350" spans="1:66" ht="12.7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10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</row>
    <row r="351" spans="1:66" ht="12.7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10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</row>
    <row r="352" spans="1:66" ht="12.7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10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  <c r="AT352" s="71"/>
      <c r="AU352" s="71"/>
      <c r="AV352" s="71"/>
      <c r="AW352" s="71"/>
      <c r="AX352" s="71"/>
      <c r="AY352" s="71"/>
      <c r="AZ352" s="71"/>
      <c r="BA352" s="71"/>
      <c r="BB352" s="71"/>
      <c r="BC352" s="71"/>
      <c r="BD352" s="71"/>
      <c r="BE352" s="71"/>
      <c r="BF352" s="71"/>
      <c r="BG352" s="71"/>
      <c r="BH352" s="71"/>
      <c r="BI352" s="71"/>
      <c r="BJ352" s="71"/>
      <c r="BK352" s="71"/>
      <c r="BL352" s="71"/>
      <c r="BM352" s="71"/>
      <c r="BN352" s="71"/>
    </row>
    <row r="353" spans="1:66" ht="12.7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10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  <c r="AT353" s="71"/>
      <c r="AU353" s="71"/>
      <c r="AV353" s="71"/>
      <c r="AW353" s="71"/>
      <c r="AX353" s="71"/>
      <c r="AY353" s="71"/>
      <c r="AZ353" s="71"/>
      <c r="BA353" s="71"/>
      <c r="BB353" s="71"/>
      <c r="BC353" s="71"/>
      <c r="BD353" s="71"/>
      <c r="BE353" s="71"/>
      <c r="BF353" s="71"/>
      <c r="BG353" s="71"/>
      <c r="BH353" s="71"/>
      <c r="BI353" s="71"/>
      <c r="BJ353" s="71"/>
      <c r="BK353" s="71"/>
      <c r="BL353" s="71"/>
      <c r="BM353" s="71"/>
      <c r="BN353" s="71"/>
    </row>
    <row r="354" spans="1:66" ht="12.7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10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  <c r="AT354" s="71"/>
      <c r="AU354" s="71"/>
      <c r="AV354" s="71"/>
      <c r="AW354" s="71"/>
      <c r="AX354" s="71"/>
      <c r="AY354" s="71"/>
      <c r="AZ354" s="71"/>
      <c r="BA354" s="71"/>
      <c r="BB354" s="71"/>
      <c r="BC354" s="71"/>
      <c r="BD354" s="71"/>
      <c r="BE354" s="71"/>
      <c r="BF354" s="71"/>
      <c r="BG354" s="71"/>
      <c r="BH354" s="71"/>
      <c r="BI354" s="71"/>
      <c r="BJ354" s="71"/>
      <c r="BK354" s="71"/>
      <c r="BL354" s="71"/>
      <c r="BM354" s="71"/>
      <c r="BN354" s="71"/>
    </row>
    <row r="355" spans="1:66" ht="12.7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10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  <c r="AT355" s="71"/>
      <c r="AU355" s="71"/>
      <c r="AV355" s="71"/>
      <c r="AW355" s="71"/>
      <c r="AX355" s="71"/>
      <c r="AY355" s="71"/>
      <c r="AZ355" s="71"/>
      <c r="BA355" s="71"/>
      <c r="BB355" s="71"/>
      <c r="BC355" s="71"/>
      <c r="BD355" s="71"/>
      <c r="BE355" s="71"/>
      <c r="BF355" s="71"/>
      <c r="BG355" s="71"/>
      <c r="BH355" s="71"/>
      <c r="BI355" s="71"/>
      <c r="BJ355" s="71"/>
      <c r="BK355" s="71"/>
      <c r="BL355" s="71"/>
      <c r="BM355" s="71"/>
      <c r="BN355" s="71"/>
    </row>
    <row r="356" spans="1:66" ht="12.7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10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  <c r="AT356" s="71"/>
      <c r="AU356" s="71"/>
      <c r="AV356" s="71"/>
      <c r="AW356" s="71"/>
      <c r="AX356" s="71"/>
      <c r="AY356" s="71"/>
      <c r="AZ356" s="71"/>
      <c r="BA356" s="71"/>
      <c r="BB356" s="71"/>
      <c r="BC356" s="71"/>
      <c r="BD356" s="71"/>
      <c r="BE356" s="71"/>
      <c r="BF356" s="71"/>
      <c r="BG356" s="71"/>
      <c r="BH356" s="71"/>
      <c r="BI356" s="71"/>
      <c r="BJ356" s="71"/>
      <c r="BK356" s="71"/>
      <c r="BL356" s="71"/>
      <c r="BM356" s="71"/>
      <c r="BN356" s="71"/>
    </row>
    <row r="357" spans="1:66" ht="12.7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10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  <c r="AT357" s="71"/>
      <c r="AU357" s="71"/>
      <c r="AV357" s="71"/>
      <c r="AW357" s="71"/>
      <c r="AX357" s="71"/>
      <c r="AY357" s="71"/>
      <c r="AZ357" s="71"/>
      <c r="BA357" s="71"/>
      <c r="BB357" s="71"/>
      <c r="BC357" s="71"/>
      <c r="BD357" s="71"/>
      <c r="BE357" s="71"/>
      <c r="BF357" s="71"/>
      <c r="BG357" s="71"/>
      <c r="BH357" s="71"/>
      <c r="BI357" s="71"/>
      <c r="BJ357" s="71"/>
      <c r="BK357" s="71"/>
      <c r="BL357" s="71"/>
      <c r="BM357" s="71"/>
      <c r="BN357" s="71"/>
    </row>
    <row r="358" spans="1:66" ht="12.7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10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  <c r="AT358" s="71"/>
      <c r="AU358" s="71"/>
      <c r="AV358" s="71"/>
      <c r="AW358" s="71"/>
      <c r="AX358" s="71"/>
      <c r="AY358" s="71"/>
      <c r="AZ358" s="71"/>
      <c r="BA358" s="71"/>
      <c r="BB358" s="71"/>
      <c r="BC358" s="71"/>
      <c r="BD358" s="71"/>
      <c r="BE358" s="71"/>
      <c r="BF358" s="71"/>
      <c r="BG358" s="71"/>
      <c r="BH358" s="71"/>
      <c r="BI358" s="71"/>
      <c r="BJ358" s="71"/>
      <c r="BK358" s="71"/>
      <c r="BL358" s="71"/>
      <c r="BM358" s="71"/>
      <c r="BN358" s="71"/>
    </row>
    <row r="359" spans="1:66" ht="12.7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10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  <c r="AT359" s="71"/>
      <c r="AU359" s="71"/>
      <c r="AV359" s="71"/>
      <c r="AW359" s="71"/>
      <c r="AX359" s="71"/>
      <c r="AY359" s="71"/>
      <c r="AZ359" s="71"/>
      <c r="BA359" s="71"/>
      <c r="BB359" s="71"/>
      <c r="BC359" s="71"/>
      <c r="BD359" s="71"/>
      <c r="BE359" s="71"/>
      <c r="BF359" s="71"/>
      <c r="BG359" s="71"/>
      <c r="BH359" s="71"/>
      <c r="BI359" s="71"/>
      <c r="BJ359" s="71"/>
      <c r="BK359" s="71"/>
      <c r="BL359" s="71"/>
      <c r="BM359" s="71"/>
      <c r="BN359" s="71"/>
    </row>
    <row r="360" spans="1:66" ht="12.7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10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  <c r="AT360" s="71"/>
      <c r="AU360" s="71"/>
      <c r="AV360" s="71"/>
      <c r="AW360" s="71"/>
      <c r="AX360" s="71"/>
      <c r="AY360" s="71"/>
      <c r="AZ360" s="71"/>
      <c r="BA360" s="71"/>
      <c r="BB360" s="71"/>
      <c r="BC360" s="71"/>
      <c r="BD360" s="71"/>
      <c r="BE360" s="71"/>
      <c r="BF360" s="71"/>
      <c r="BG360" s="71"/>
      <c r="BH360" s="71"/>
      <c r="BI360" s="71"/>
      <c r="BJ360" s="71"/>
      <c r="BK360" s="71"/>
      <c r="BL360" s="71"/>
      <c r="BM360" s="71"/>
      <c r="BN360" s="71"/>
    </row>
    <row r="361" spans="1:66" ht="12.7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10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  <c r="AT361" s="71"/>
      <c r="AU361" s="71"/>
      <c r="AV361" s="71"/>
      <c r="AW361" s="71"/>
      <c r="AX361" s="71"/>
      <c r="AY361" s="71"/>
      <c r="AZ361" s="71"/>
      <c r="BA361" s="71"/>
      <c r="BB361" s="71"/>
      <c r="BC361" s="71"/>
      <c r="BD361" s="71"/>
      <c r="BE361" s="71"/>
      <c r="BF361" s="71"/>
      <c r="BG361" s="71"/>
      <c r="BH361" s="71"/>
      <c r="BI361" s="71"/>
      <c r="BJ361" s="71"/>
      <c r="BK361" s="71"/>
      <c r="BL361" s="71"/>
      <c r="BM361" s="71"/>
      <c r="BN361" s="71"/>
    </row>
    <row r="362" spans="1:66" ht="12.7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10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  <c r="AT362" s="71"/>
      <c r="AU362" s="71"/>
      <c r="AV362" s="71"/>
      <c r="AW362" s="71"/>
      <c r="AX362" s="71"/>
      <c r="AY362" s="71"/>
      <c r="AZ362" s="71"/>
      <c r="BA362" s="71"/>
      <c r="BB362" s="71"/>
      <c r="BC362" s="71"/>
      <c r="BD362" s="71"/>
      <c r="BE362" s="71"/>
      <c r="BF362" s="71"/>
      <c r="BG362" s="71"/>
      <c r="BH362" s="71"/>
      <c r="BI362" s="71"/>
      <c r="BJ362" s="71"/>
      <c r="BK362" s="71"/>
      <c r="BL362" s="71"/>
      <c r="BM362" s="71"/>
      <c r="BN362" s="71"/>
    </row>
    <row r="363" spans="1:66" ht="12.7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10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  <c r="AT363" s="71"/>
      <c r="AU363" s="71"/>
      <c r="AV363" s="71"/>
      <c r="AW363" s="71"/>
      <c r="AX363" s="71"/>
      <c r="AY363" s="71"/>
      <c r="AZ363" s="71"/>
      <c r="BA363" s="71"/>
      <c r="BB363" s="71"/>
      <c r="BC363" s="71"/>
      <c r="BD363" s="71"/>
      <c r="BE363" s="71"/>
      <c r="BF363" s="71"/>
      <c r="BG363" s="71"/>
      <c r="BH363" s="71"/>
      <c r="BI363" s="71"/>
      <c r="BJ363" s="71"/>
      <c r="BK363" s="71"/>
      <c r="BL363" s="71"/>
      <c r="BM363" s="71"/>
      <c r="BN363" s="71"/>
    </row>
    <row r="364" spans="1:66" ht="12.7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10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  <c r="AT364" s="71"/>
      <c r="AU364" s="71"/>
      <c r="AV364" s="71"/>
      <c r="AW364" s="71"/>
      <c r="AX364" s="71"/>
      <c r="AY364" s="71"/>
      <c r="AZ364" s="71"/>
      <c r="BA364" s="71"/>
      <c r="BB364" s="71"/>
      <c r="BC364" s="71"/>
      <c r="BD364" s="71"/>
      <c r="BE364" s="71"/>
      <c r="BF364" s="71"/>
      <c r="BG364" s="71"/>
      <c r="BH364" s="71"/>
      <c r="BI364" s="71"/>
      <c r="BJ364" s="71"/>
      <c r="BK364" s="71"/>
      <c r="BL364" s="71"/>
      <c r="BM364" s="71"/>
      <c r="BN364" s="71"/>
    </row>
    <row r="365" spans="1:66" ht="12.7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10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  <c r="AT365" s="71"/>
      <c r="AU365" s="71"/>
      <c r="AV365" s="71"/>
      <c r="AW365" s="71"/>
      <c r="AX365" s="71"/>
      <c r="AY365" s="71"/>
      <c r="AZ365" s="71"/>
      <c r="BA365" s="71"/>
      <c r="BB365" s="71"/>
      <c r="BC365" s="71"/>
      <c r="BD365" s="71"/>
      <c r="BE365" s="71"/>
      <c r="BF365" s="71"/>
      <c r="BG365" s="71"/>
      <c r="BH365" s="71"/>
      <c r="BI365" s="71"/>
      <c r="BJ365" s="71"/>
      <c r="BK365" s="71"/>
      <c r="BL365" s="71"/>
      <c r="BM365" s="71"/>
      <c r="BN365" s="71"/>
    </row>
    <row r="366" spans="1:66" ht="12.7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10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  <c r="AT366" s="71"/>
      <c r="AU366" s="71"/>
      <c r="AV366" s="71"/>
      <c r="AW366" s="71"/>
      <c r="AX366" s="71"/>
      <c r="AY366" s="71"/>
      <c r="AZ366" s="71"/>
      <c r="BA366" s="71"/>
      <c r="BB366" s="71"/>
      <c r="BC366" s="71"/>
      <c r="BD366" s="71"/>
      <c r="BE366" s="71"/>
      <c r="BF366" s="71"/>
      <c r="BG366" s="71"/>
      <c r="BH366" s="71"/>
      <c r="BI366" s="71"/>
      <c r="BJ366" s="71"/>
      <c r="BK366" s="71"/>
      <c r="BL366" s="71"/>
      <c r="BM366" s="71"/>
      <c r="BN366" s="71"/>
    </row>
    <row r="367" spans="1:66" ht="12.7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10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  <c r="AT367" s="71"/>
      <c r="AU367" s="71"/>
      <c r="AV367" s="71"/>
      <c r="AW367" s="71"/>
      <c r="AX367" s="71"/>
      <c r="AY367" s="71"/>
      <c r="AZ367" s="71"/>
      <c r="BA367" s="71"/>
      <c r="BB367" s="71"/>
      <c r="BC367" s="71"/>
      <c r="BD367" s="71"/>
      <c r="BE367" s="71"/>
      <c r="BF367" s="71"/>
      <c r="BG367" s="71"/>
      <c r="BH367" s="71"/>
      <c r="BI367" s="71"/>
      <c r="BJ367" s="71"/>
      <c r="BK367" s="71"/>
      <c r="BL367" s="71"/>
      <c r="BM367" s="71"/>
      <c r="BN367" s="71"/>
    </row>
    <row r="368" spans="1:66" ht="12.7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10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  <c r="AT368" s="71"/>
      <c r="AU368" s="71"/>
      <c r="AV368" s="71"/>
      <c r="AW368" s="71"/>
      <c r="AX368" s="71"/>
      <c r="AY368" s="71"/>
      <c r="AZ368" s="71"/>
      <c r="BA368" s="71"/>
      <c r="BB368" s="71"/>
      <c r="BC368" s="71"/>
      <c r="BD368" s="71"/>
      <c r="BE368" s="71"/>
      <c r="BF368" s="71"/>
      <c r="BG368" s="71"/>
      <c r="BH368" s="71"/>
      <c r="BI368" s="71"/>
      <c r="BJ368" s="71"/>
      <c r="BK368" s="71"/>
      <c r="BL368" s="71"/>
      <c r="BM368" s="71"/>
      <c r="BN368" s="71"/>
    </row>
    <row r="369" spans="1:66" ht="12.7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10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  <c r="AT369" s="71"/>
      <c r="AU369" s="71"/>
      <c r="AV369" s="71"/>
      <c r="AW369" s="71"/>
      <c r="AX369" s="71"/>
      <c r="AY369" s="71"/>
      <c r="AZ369" s="71"/>
      <c r="BA369" s="71"/>
      <c r="BB369" s="71"/>
      <c r="BC369" s="71"/>
      <c r="BD369" s="71"/>
      <c r="BE369" s="71"/>
      <c r="BF369" s="71"/>
      <c r="BG369" s="71"/>
      <c r="BH369" s="71"/>
      <c r="BI369" s="71"/>
      <c r="BJ369" s="71"/>
      <c r="BK369" s="71"/>
      <c r="BL369" s="71"/>
      <c r="BM369" s="71"/>
      <c r="BN369" s="71"/>
    </row>
    <row r="370" spans="1:66" ht="12.7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10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  <c r="AT370" s="71"/>
      <c r="AU370" s="71"/>
      <c r="AV370" s="71"/>
      <c r="AW370" s="71"/>
      <c r="AX370" s="71"/>
      <c r="AY370" s="71"/>
      <c r="AZ370" s="71"/>
      <c r="BA370" s="71"/>
      <c r="BB370" s="71"/>
      <c r="BC370" s="71"/>
      <c r="BD370" s="71"/>
      <c r="BE370" s="71"/>
      <c r="BF370" s="71"/>
      <c r="BG370" s="71"/>
      <c r="BH370" s="71"/>
      <c r="BI370" s="71"/>
      <c r="BJ370" s="71"/>
      <c r="BK370" s="71"/>
      <c r="BL370" s="71"/>
      <c r="BM370" s="71"/>
      <c r="BN370" s="71"/>
    </row>
    <row r="371" spans="1:66" ht="12.7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10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  <c r="AT371" s="71"/>
      <c r="AU371" s="71"/>
      <c r="AV371" s="71"/>
      <c r="AW371" s="71"/>
      <c r="AX371" s="71"/>
      <c r="AY371" s="71"/>
      <c r="AZ371" s="71"/>
      <c r="BA371" s="71"/>
      <c r="BB371" s="71"/>
      <c r="BC371" s="71"/>
      <c r="BD371" s="71"/>
      <c r="BE371" s="71"/>
      <c r="BF371" s="71"/>
      <c r="BG371" s="71"/>
      <c r="BH371" s="71"/>
      <c r="BI371" s="71"/>
      <c r="BJ371" s="71"/>
      <c r="BK371" s="71"/>
      <c r="BL371" s="71"/>
      <c r="BM371" s="71"/>
      <c r="BN371" s="71"/>
    </row>
    <row r="372" spans="1:66" ht="12.7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10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  <c r="AT372" s="71"/>
      <c r="AU372" s="71"/>
      <c r="AV372" s="71"/>
      <c r="AW372" s="71"/>
      <c r="AX372" s="71"/>
      <c r="AY372" s="71"/>
      <c r="AZ372" s="71"/>
      <c r="BA372" s="71"/>
      <c r="BB372" s="71"/>
      <c r="BC372" s="71"/>
      <c r="BD372" s="71"/>
      <c r="BE372" s="71"/>
      <c r="BF372" s="71"/>
      <c r="BG372" s="71"/>
      <c r="BH372" s="71"/>
      <c r="BI372" s="71"/>
      <c r="BJ372" s="71"/>
      <c r="BK372" s="71"/>
      <c r="BL372" s="71"/>
      <c r="BM372" s="71"/>
      <c r="BN372" s="71"/>
    </row>
    <row r="373" spans="1:66" ht="12.7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10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  <c r="AT373" s="71"/>
      <c r="AU373" s="71"/>
      <c r="AV373" s="71"/>
      <c r="AW373" s="71"/>
      <c r="AX373" s="71"/>
      <c r="AY373" s="71"/>
      <c r="AZ373" s="71"/>
      <c r="BA373" s="71"/>
      <c r="BB373" s="71"/>
      <c r="BC373" s="71"/>
      <c r="BD373" s="71"/>
      <c r="BE373" s="71"/>
      <c r="BF373" s="71"/>
      <c r="BG373" s="71"/>
      <c r="BH373" s="71"/>
      <c r="BI373" s="71"/>
      <c r="BJ373" s="71"/>
      <c r="BK373" s="71"/>
      <c r="BL373" s="71"/>
      <c r="BM373" s="71"/>
      <c r="BN373" s="71"/>
    </row>
    <row r="374" spans="1:66" ht="12.7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10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  <c r="AT374" s="71"/>
      <c r="AU374" s="71"/>
      <c r="AV374" s="71"/>
      <c r="AW374" s="71"/>
      <c r="AX374" s="71"/>
      <c r="AY374" s="71"/>
      <c r="AZ374" s="71"/>
      <c r="BA374" s="71"/>
      <c r="BB374" s="71"/>
      <c r="BC374" s="71"/>
      <c r="BD374" s="71"/>
      <c r="BE374" s="71"/>
      <c r="BF374" s="71"/>
      <c r="BG374" s="71"/>
      <c r="BH374" s="71"/>
      <c r="BI374" s="71"/>
      <c r="BJ374" s="71"/>
      <c r="BK374" s="71"/>
      <c r="BL374" s="71"/>
      <c r="BM374" s="71"/>
      <c r="BN374" s="71"/>
    </row>
    <row r="375" spans="1:66" ht="12.7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10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  <c r="AT375" s="71"/>
      <c r="AU375" s="71"/>
      <c r="AV375" s="71"/>
      <c r="AW375" s="71"/>
      <c r="AX375" s="71"/>
      <c r="AY375" s="71"/>
      <c r="AZ375" s="71"/>
      <c r="BA375" s="71"/>
      <c r="BB375" s="71"/>
      <c r="BC375" s="71"/>
      <c r="BD375" s="71"/>
      <c r="BE375" s="71"/>
      <c r="BF375" s="71"/>
      <c r="BG375" s="71"/>
      <c r="BH375" s="71"/>
      <c r="BI375" s="71"/>
      <c r="BJ375" s="71"/>
      <c r="BK375" s="71"/>
      <c r="BL375" s="71"/>
      <c r="BM375" s="71"/>
      <c r="BN375" s="71"/>
    </row>
    <row r="376" spans="1:66" ht="12.7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10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1"/>
      <c r="BD376" s="71"/>
      <c r="BE376" s="71"/>
      <c r="BF376" s="71"/>
      <c r="BG376" s="71"/>
      <c r="BH376" s="71"/>
      <c r="BI376" s="71"/>
      <c r="BJ376" s="71"/>
      <c r="BK376" s="71"/>
      <c r="BL376" s="71"/>
      <c r="BM376" s="71"/>
      <c r="BN376" s="71"/>
    </row>
    <row r="377" spans="1:66" ht="12.7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10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1"/>
      <c r="BD377" s="71"/>
      <c r="BE377" s="71"/>
      <c r="BF377" s="71"/>
      <c r="BG377" s="71"/>
      <c r="BH377" s="71"/>
      <c r="BI377" s="71"/>
      <c r="BJ377" s="71"/>
      <c r="BK377" s="71"/>
      <c r="BL377" s="71"/>
      <c r="BM377" s="71"/>
      <c r="BN377" s="71"/>
    </row>
    <row r="378" spans="1:66" ht="12.7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10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1"/>
      <c r="BD378" s="71"/>
      <c r="BE378" s="71"/>
      <c r="BF378" s="71"/>
      <c r="BG378" s="71"/>
      <c r="BH378" s="71"/>
      <c r="BI378" s="71"/>
      <c r="BJ378" s="71"/>
      <c r="BK378" s="71"/>
      <c r="BL378" s="71"/>
      <c r="BM378" s="71"/>
      <c r="BN378" s="71"/>
    </row>
    <row r="379" spans="1:66" ht="12.7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10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  <c r="AT379" s="71"/>
      <c r="AU379" s="71"/>
      <c r="AV379" s="71"/>
      <c r="AW379" s="71"/>
      <c r="AX379" s="71"/>
      <c r="AY379" s="71"/>
      <c r="AZ379" s="71"/>
      <c r="BA379" s="71"/>
      <c r="BB379" s="71"/>
      <c r="BC379" s="71"/>
      <c r="BD379" s="71"/>
      <c r="BE379" s="71"/>
      <c r="BF379" s="71"/>
      <c r="BG379" s="71"/>
      <c r="BH379" s="71"/>
      <c r="BI379" s="71"/>
      <c r="BJ379" s="71"/>
      <c r="BK379" s="71"/>
      <c r="BL379" s="71"/>
      <c r="BM379" s="71"/>
      <c r="BN379" s="71"/>
    </row>
    <row r="380" spans="1:66" ht="12.7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10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  <c r="AT380" s="71"/>
      <c r="AU380" s="71"/>
      <c r="AV380" s="71"/>
      <c r="AW380" s="71"/>
      <c r="AX380" s="71"/>
      <c r="AY380" s="71"/>
      <c r="AZ380" s="71"/>
      <c r="BA380" s="71"/>
      <c r="BB380" s="71"/>
      <c r="BC380" s="71"/>
      <c r="BD380" s="71"/>
      <c r="BE380" s="71"/>
      <c r="BF380" s="71"/>
      <c r="BG380" s="71"/>
      <c r="BH380" s="71"/>
      <c r="BI380" s="71"/>
      <c r="BJ380" s="71"/>
      <c r="BK380" s="71"/>
      <c r="BL380" s="71"/>
      <c r="BM380" s="71"/>
      <c r="BN380" s="71"/>
    </row>
    <row r="381" spans="1:66" ht="12.7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10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  <c r="AT381" s="71"/>
      <c r="AU381" s="71"/>
      <c r="AV381" s="71"/>
      <c r="AW381" s="71"/>
      <c r="AX381" s="71"/>
      <c r="AY381" s="71"/>
      <c r="AZ381" s="71"/>
      <c r="BA381" s="71"/>
      <c r="BB381" s="71"/>
      <c r="BC381" s="71"/>
      <c r="BD381" s="71"/>
      <c r="BE381" s="71"/>
      <c r="BF381" s="71"/>
      <c r="BG381" s="71"/>
      <c r="BH381" s="71"/>
      <c r="BI381" s="71"/>
      <c r="BJ381" s="71"/>
      <c r="BK381" s="71"/>
      <c r="BL381" s="71"/>
      <c r="BM381" s="71"/>
      <c r="BN381" s="71"/>
    </row>
    <row r="382" spans="1:66" ht="12.7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10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  <c r="AT382" s="71"/>
      <c r="AU382" s="71"/>
      <c r="AV382" s="71"/>
      <c r="AW382" s="71"/>
      <c r="AX382" s="71"/>
      <c r="AY382" s="71"/>
      <c r="AZ382" s="71"/>
      <c r="BA382" s="71"/>
      <c r="BB382" s="71"/>
      <c r="BC382" s="71"/>
      <c r="BD382" s="71"/>
      <c r="BE382" s="71"/>
      <c r="BF382" s="71"/>
      <c r="BG382" s="71"/>
      <c r="BH382" s="71"/>
      <c r="BI382" s="71"/>
      <c r="BJ382" s="71"/>
      <c r="BK382" s="71"/>
      <c r="BL382" s="71"/>
      <c r="BM382" s="71"/>
      <c r="BN382" s="71"/>
    </row>
    <row r="383" spans="1:66" ht="12.7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10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  <c r="AT383" s="71"/>
      <c r="AU383" s="71"/>
      <c r="AV383" s="71"/>
      <c r="AW383" s="71"/>
      <c r="AX383" s="71"/>
      <c r="AY383" s="71"/>
      <c r="AZ383" s="71"/>
      <c r="BA383" s="71"/>
      <c r="BB383" s="71"/>
      <c r="BC383" s="71"/>
      <c r="BD383" s="71"/>
      <c r="BE383" s="71"/>
      <c r="BF383" s="71"/>
      <c r="BG383" s="71"/>
      <c r="BH383" s="71"/>
      <c r="BI383" s="71"/>
      <c r="BJ383" s="71"/>
      <c r="BK383" s="71"/>
      <c r="BL383" s="71"/>
      <c r="BM383" s="71"/>
      <c r="BN383" s="71"/>
    </row>
    <row r="384" spans="1:66" ht="12.7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10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  <c r="AT384" s="71"/>
      <c r="AU384" s="71"/>
      <c r="AV384" s="71"/>
      <c r="AW384" s="71"/>
      <c r="AX384" s="7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</row>
    <row r="385" spans="1:66" ht="12.7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10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  <c r="AR385" s="71"/>
      <c r="AS385" s="71"/>
      <c r="AT385" s="71"/>
      <c r="AU385" s="71"/>
      <c r="AV385" s="71"/>
      <c r="AW385" s="71"/>
      <c r="AX385" s="71"/>
      <c r="AY385" s="71"/>
      <c r="AZ385" s="71"/>
      <c r="BA385" s="71"/>
      <c r="BB385" s="71"/>
      <c r="BC385" s="71"/>
      <c r="BD385" s="71"/>
      <c r="BE385" s="71"/>
      <c r="BF385" s="71"/>
      <c r="BG385" s="71"/>
      <c r="BH385" s="71"/>
      <c r="BI385" s="71"/>
      <c r="BJ385" s="71"/>
      <c r="BK385" s="71"/>
      <c r="BL385" s="71"/>
      <c r="BM385" s="71"/>
      <c r="BN385" s="71"/>
    </row>
    <row r="386" spans="1:66" ht="12.7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10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  <c r="AR386" s="71"/>
      <c r="AS386" s="71"/>
      <c r="AT386" s="71"/>
      <c r="AU386" s="71"/>
      <c r="AV386" s="71"/>
      <c r="AW386" s="71"/>
      <c r="AX386" s="71"/>
      <c r="AY386" s="71"/>
      <c r="AZ386" s="71"/>
      <c r="BA386" s="71"/>
      <c r="BB386" s="71"/>
      <c r="BC386" s="71"/>
      <c r="BD386" s="71"/>
      <c r="BE386" s="71"/>
      <c r="BF386" s="71"/>
      <c r="BG386" s="71"/>
      <c r="BH386" s="71"/>
      <c r="BI386" s="71"/>
      <c r="BJ386" s="71"/>
      <c r="BK386" s="71"/>
      <c r="BL386" s="71"/>
      <c r="BM386" s="71"/>
      <c r="BN386" s="71"/>
    </row>
    <row r="387" spans="1:66" ht="12.7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10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  <c r="AR387" s="71"/>
      <c r="AS387" s="71"/>
      <c r="AT387" s="71"/>
      <c r="AU387" s="71"/>
      <c r="AV387" s="71"/>
      <c r="AW387" s="71"/>
      <c r="AX387" s="71"/>
      <c r="AY387" s="71"/>
      <c r="AZ387" s="71"/>
      <c r="BA387" s="71"/>
      <c r="BB387" s="71"/>
      <c r="BC387" s="71"/>
      <c r="BD387" s="71"/>
      <c r="BE387" s="71"/>
      <c r="BF387" s="71"/>
      <c r="BG387" s="71"/>
      <c r="BH387" s="71"/>
      <c r="BI387" s="71"/>
      <c r="BJ387" s="71"/>
      <c r="BK387" s="71"/>
      <c r="BL387" s="71"/>
      <c r="BM387" s="71"/>
      <c r="BN387" s="71"/>
    </row>
    <row r="388" spans="1:66" ht="12.7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10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  <c r="AR388" s="71"/>
      <c r="AS388" s="71"/>
      <c r="AT388" s="71"/>
      <c r="AU388" s="71"/>
      <c r="AV388" s="71"/>
      <c r="AW388" s="71"/>
      <c r="AX388" s="71"/>
      <c r="AY388" s="71"/>
      <c r="AZ388" s="71"/>
      <c r="BA388" s="71"/>
      <c r="BB388" s="71"/>
      <c r="BC388" s="71"/>
      <c r="BD388" s="71"/>
      <c r="BE388" s="71"/>
      <c r="BF388" s="71"/>
      <c r="BG388" s="71"/>
      <c r="BH388" s="71"/>
      <c r="BI388" s="71"/>
      <c r="BJ388" s="71"/>
      <c r="BK388" s="71"/>
      <c r="BL388" s="71"/>
      <c r="BM388" s="71"/>
      <c r="BN388" s="71"/>
    </row>
    <row r="389" spans="1:66" ht="12.7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10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  <c r="AR389" s="71"/>
      <c r="AS389" s="71"/>
      <c r="AT389" s="71"/>
      <c r="AU389" s="71"/>
      <c r="AV389" s="71"/>
      <c r="AW389" s="71"/>
      <c r="AX389" s="71"/>
      <c r="AY389" s="71"/>
      <c r="AZ389" s="71"/>
      <c r="BA389" s="71"/>
      <c r="BB389" s="71"/>
      <c r="BC389" s="71"/>
      <c r="BD389" s="71"/>
      <c r="BE389" s="71"/>
      <c r="BF389" s="71"/>
      <c r="BG389" s="71"/>
      <c r="BH389" s="71"/>
      <c r="BI389" s="71"/>
      <c r="BJ389" s="71"/>
      <c r="BK389" s="71"/>
      <c r="BL389" s="71"/>
      <c r="BM389" s="71"/>
      <c r="BN389" s="71"/>
    </row>
    <row r="390" spans="1:66" ht="12.7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10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</row>
    <row r="391" spans="1:66" ht="12.7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10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</row>
    <row r="392" spans="1:66" ht="12.7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10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  <c r="AR392" s="71"/>
      <c r="AS392" s="71"/>
      <c r="AT392" s="71"/>
      <c r="AU392" s="71"/>
      <c r="AV392" s="71"/>
      <c r="AW392" s="71"/>
      <c r="AX392" s="71"/>
      <c r="AY392" s="71"/>
      <c r="AZ392" s="71"/>
      <c r="BA392" s="71"/>
      <c r="BB392" s="71"/>
      <c r="BC392" s="71"/>
      <c r="BD392" s="71"/>
      <c r="BE392" s="71"/>
      <c r="BF392" s="71"/>
      <c r="BG392" s="71"/>
      <c r="BH392" s="71"/>
      <c r="BI392" s="71"/>
      <c r="BJ392" s="71"/>
      <c r="BK392" s="71"/>
      <c r="BL392" s="71"/>
      <c r="BM392" s="71"/>
      <c r="BN392" s="71"/>
    </row>
    <row r="393" spans="1:66" ht="12.7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10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  <c r="AR393" s="71"/>
      <c r="AS393" s="71"/>
      <c r="AT393" s="71"/>
      <c r="AU393" s="71"/>
      <c r="AV393" s="71"/>
      <c r="AW393" s="71"/>
      <c r="AX393" s="71"/>
      <c r="AY393" s="71"/>
      <c r="AZ393" s="71"/>
      <c r="BA393" s="71"/>
      <c r="BB393" s="71"/>
      <c r="BC393" s="71"/>
      <c r="BD393" s="71"/>
      <c r="BE393" s="71"/>
      <c r="BF393" s="71"/>
      <c r="BG393" s="71"/>
      <c r="BH393" s="71"/>
      <c r="BI393" s="71"/>
      <c r="BJ393" s="71"/>
      <c r="BK393" s="71"/>
      <c r="BL393" s="71"/>
      <c r="BM393" s="71"/>
      <c r="BN393" s="71"/>
    </row>
    <row r="394" spans="1:66" ht="12.7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10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  <c r="AR394" s="71"/>
      <c r="AS394" s="71"/>
      <c r="AT394" s="71"/>
      <c r="AU394" s="71"/>
      <c r="AV394" s="71"/>
      <c r="AW394" s="71"/>
      <c r="AX394" s="71"/>
      <c r="AY394" s="71"/>
      <c r="AZ394" s="71"/>
      <c r="BA394" s="71"/>
      <c r="BB394" s="71"/>
      <c r="BC394" s="71"/>
      <c r="BD394" s="71"/>
      <c r="BE394" s="71"/>
      <c r="BF394" s="71"/>
      <c r="BG394" s="71"/>
      <c r="BH394" s="71"/>
      <c r="BI394" s="71"/>
      <c r="BJ394" s="71"/>
      <c r="BK394" s="71"/>
      <c r="BL394" s="71"/>
      <c r="BM394" s="71"/>
      <c r="BN394" s="71"/>
    </row>
    <row r="395" spans="1:66" ht="12.7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10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  <c r="AR395" s="71"/>
      <c r="AS395" s="71"/>
      <c r="AT395" s="71"/>
      <c r="AU395" s="71"/>
      <c r="AV395" s="71"/>
      <c r="AW395" s="71"/>
      <c r="AX395" s="71"/>
      <c r="AY395" s="71"/>
      <c r="AZ395" s="71"/>
      <c r="BA395" s="71"/>
      <c r="BB395" s="71"/>
      <c r="BC395" s="71"/>
      <c r="BD395" s="71"/>
      <c r="BE395" s="71"/>
      <c r="BF395" s="71"/>
      <c r="BG395" s="71"/>
      <c r="BH395" s="71"/>
      <c r="BI395" s="71"/>
      <c r="BJ395" s="71"/>
      <c r="BK395" s="71"/>
      <c r="BL395" s="71"/>
      <c r="BM395" s="71"/>
      <c r="BN395" s="71"/>
    </row>
    <row r="396" spans="1:66" ht="12.7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10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  <c r="AR396" s="71"/>
      <c r="AS396" s="71"/>
      <c r="AT396" s="71"/>
      <c r="AU396" s="71"/>
      <c r="AV396" s="71"/>
      <c r="AW396" s="71"/>
      <c r="AX396" s="71"/>
      <c r="AY396" s="71"/>
      <c r="AZ396" s="71"/>
      <c r="BA396" s="71"/>
      <c r="BB396" s="71"/>
      <c r="BC396" s="71"/>
      <c r="BD396" s="71"/>
      <c r="BE396" s="71"/>
      <c r="BF396" s="71"/>
      <c r="BG396" s="71"/>
      <c r="BH396" s="71"/>
      <c r="BI396" s="71"/>
      <c r="BJ396" s="71"/>
      <c r="BK396" s="71"/>
      <c r="BL396" s="71"/>
      <c r="BM396" s="71"/>
      <c r="BN396" s="71"/>
    </row>
    <row r="397" spans="1:66" ht="12.7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10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  <c r="AR397" s="71"/>
      <c r="AS397" s="71"/>
      <c r="AT397" s="71"/>
      <c r="AU397" s="71"/>
      <c r="AV397" s="71"/>
      <c r="AW397" s="71"/>
      <c r="AX397" s="71"/>
      <c r="AY397" s="71"/>
      <c r="AZ397" s="71"/>
      <c r="BA397" s="71"/>
      <c r="BB397" s="71"/>
      <c r="BC397" s="71"/>
      <c r="BD397" s="71"/>
      <c r="BE397" s="71"/>
      <c r="BF397" s="71"/>
      <c r="BG397" s="71"/>
      <c r="BH397" s="71"/>
      <c r="BI397" s="71"/>
      <c r="BJ397" s="71"/>
      <c r="BK397" s="71"/>
      <c r="BL397" s="71"/>
      <c r="BM397" s="71"/>
      <c r="BN397" s="71"/>
    </row>
    <row r="398" spans="1:66" ht="12.7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10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  <c r="AR398" s="71"/>
      <c r="AS398" s="71"/>
      <c r="AT398" s="71"/>
      <c r="AU398" s="71"/>
      <c r="AV398" s="71"/>
      <c r="AW398" s="71"/>
      <c r="AX398" s="71"/>
      <c r="AY398" s="71"/>
      <c r="AZ398" s="71"/>
      <c r="BA398" s="71"/>
      <c r="BB398" s="71"/>
      <c r="BC398" s="71"/>
      <c r="BD398" s="71"/>
      <c r="BE398" s="71"/>
      <c r="BF398" s="71"/>
      <c r="BG398" s="71"/>
      <c r="BH398" s="71"/>
      <c r="BI398" s="71"/>
      <c r="BJ398" s="71"/>
      <c r="BK398" s="71"/>
      <c r="BL398" s="71"/>
      <c r="BM398" s="71"/>
      <c r="BN398" s="71"/>
    </row>
    <row r="399" spans="1:66" ht="12.7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10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  <c r="AR399" s="71"/>
      <c r="AS399" s="71"/>
      <c r="AT399" s="71"/>
      <c r="AU399" s="71"/>
      <c r="AV399" s="71"/>
      <c r="AW399" s="71"/>
      <c r="AX399" s="71"/>
      <c r="AY399" s="71"/>
      <c r="AZ399" s="71"/>
      <c r="BA399" s="71"/>
      <c r="BB399" s="71"/>
      <c r="BC399" s="71"/>
      <c r="BD399" s="71"/>
      <c r="BE399" s="71"/>
      <c r="BF399" s="71"/>
      <c r="BG399" s="71"/>
      <c r="BH399" s="71"/>
      <c r="BI399" s="71"/>
      <c r="BJ399" s="71"/>
      <c r="BK399" s="71"/>
      <c r="BL399" s="71"/>
      <c r="BM399" s="71"/>
      <c r="BN399" s="71"/>
    </row>
    <row r="400" spans="1:66" ht="12.7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10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  <c r="AR400" s="71"/>
      <c r="AS400" s="71"/>
      <c r="AT400" s="71"/>
      <c r="AU400" s="71"/>
      <c r="AV400" s="71"/>
      <c r="AW400" s="71"/>
      <c r="AX400" s="71"/>
      <c r="AY400" s="71"/>
      <c r="AZ400" s="71"/>
      <c r="BA400" s="71"/>
      <c r="BB400" s="71"/>
      <c r="BC400" s="71"/>
      <c r="BD400" s="71"/>
      <c r="BE400" s="71"/>
      <c r="BF400" s="71"/>
      <c r="BG400" s="71"/>
      <c r="BH400" s="71"/>
      <c r="BI400" s="71"/>
      <c r="BJ400" s="71"/>
      <c r="BK400" s="71"/>
      <c r="BL400" s="71"/>
      <c r="BM400" s="71"/>
      <c r="BN400" s="71"/>
    </row>
    <row r="401" spans="1:66" ht="12.7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10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  <c r="AR401" s="71"/>
      <c r="AS401" s="71"/>
      <c r="AT401" s="71"/>
      <c r="AU401" s="71"/>
      <c r="AV401" s="71"/>
      <c r="AW401" s="71"/>
      <c r="AX401" s="71"/>
      <c r="AY401" s="71"/>
      <c r="AZ401" s="71"/>
      <c r="BA401" s="71"/>
      <c r="BB401" s="71"/>
      <c r="BC401" s="71"/>
      <c r="BD401" s="71"/>
      <c r="BE401" s="71"/>
      <c r="BF401" s="71"/>
      <c r="BG401" s="71"/>
      <c r="BH401" s="71"/>
      <c r="BI401" s="71"/>
      <c r="BJ401" s="71"/>
      <c r="BK401" s="71"/>
      <c r="BL401" s="71"/>
      <c r="BM401" s="71"/>
      <c r="BN401" s="71"/>
    </row>
    <row r="402" spans="1:66" ht="12.7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10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  <c r="AR402" s="71"/>
      <c r="AS402" s="71"/>
      <c r="AT402" s="71"/>
      <c r="AU402" s="71"/>
      <c r="AV402" s="71"/>
      <c r="AW402" s="71"/>
      <c r="AX402" s="71"/>
      <c r="AY402" s="71"/>
      <c r="AZ402" s="71"/>
      <c r="BA402" s="71"/>
      <c r="BB402" s="71"/>
      <c r="BC402" s="71"/>
      <c r="BD402" s="71"/>
      <c r="BE402" s="71"/>
      <c r="BF402" s="71"/>
      <c r="BG402" s="71"/>
      <c r="BH402" s="71"/>
      <c r="BI402" s="71"/>
      <c r="BJ402" s="71"/>
      <c r="BK402" s="71"/>
      <c r="BL402" s="71"/>
      <c r="BM402" s="71"/>
      <c r="BN402" s="71"/>
    </row>
    <row r="403" spans="1:66" ht="12.7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10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  <c r="AR403" s="71"/>
      <c r="AS403" s="71"/>
      <c r="AT403" s="71"/>
      <c r="AU403" s="71"/>
      <c r="AV403" s="71"/>
      <c r="AW403" s="71"/>
      <c r="AX403" s="71"/>
      <c r="AY403" s="71"/>
      <c r="AZ403" s="71"/>
      <c r="BA403" s="71"/>
      <c r="BB403" s="71"/>
      <c r="BC403" s="71"/>
      <c r="BD403" s="71"/>
      <c r="BE403" s="71"/>
      <c r="BF403" s="71"/>
      <c r="BG403" s="71"/>
      <c r="BH403" s="71"/>
      <c r="BI403" s="71"/>
      <c r="BJ403" s="71"/>
      <c r="BK403" s="71"/>
      <c r="BL403" s="71"/>
      <c r="BM403" s="71"/>
      <c r="BN403" s="71"/>
    </row>
    <row r="404" spans="1:66" ht="12.7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10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  <c r="AR404" s="71"/>
      <c r="AS404" s="71"/>
      <c r="AT404" s="71"/>
      <c r="AU404" s="71"/>
      <c r="AV404" s="71"/>
      <c r="AW404" s="71"/>
      <c r="AX404" s="71"/>
      <c r="AY404" s="71"/>
      <c r="AZ404" s="71"/>
      <c r="BA404" s="71"/>
      <c r="BB404" s="71"/>
      <c r="BC404" s="71"/>
      <c r="BD404" s="71"/>
      <c r="BE404" s="71"/>
      <c r="BF404" s="71"/>
      <c r="BG404" s="71"/>
      <c r="BH404" s="71"/>
      <c r="BI404" s="71"/>
      <c r="BJ404" s="71"/>
      <c r="BK404" s="71"/>
      <c r="BL404" s="71"/>
      <c r="BM404" s="71"/>
      <c r="BN404" s="71"/>
    </row>
    <row r="405" spans="1:66" ht="12.7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10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  <c r="AR405" s="71"/>
      <c r="AS405" s="71"/>
      <c r="AT405" s="71"/>
      <c r="AU405" s="71"/>
      <c r="AV405" s="71"/>
      <c r="AW405" s="71"/>
      <c r="AX405" s="71"/>
      <c r="AY405" s="71"/>
      <c r="AZ405" s="71"/>
      <c r="BA405" s="71"/>
      <c r="BB405" s="71"/>
      <c r="BC405" s="71"/>
      <c r="BD405" s="71"/>
      <c r="BE405" s="71"/>
      <c r="BF405" s="71"/>
      <c r="BG405" s="71"/>
      <c r="BH405" s="71"/>
      <c r="BI405" s="71"/>
      <c r="BJ405" s="71"/>
      <c r="BK405" s="71"/>
      <c r="BL405" s="71"/>
      <c r="BM405" s="71"/>
      <c r="BN405" s="71"/>
    </row>
    <row r="406" spans="1:66" ht="12.7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10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  <c r="AR406" s="71"/>
      <c r="AS406" s="71"/>
      <c r="AT406" s="71"/>
      <c r="AU406" s="71"/>
      <c r="AV406" s="71"/>
      <c r="AW406" s="71"/>
      <c r="AX406" s="71"/>
      <c r="AY406" s="71"/>
      <c r="AZ406" s="71"/>
      <c r="BA406" s="71"/>
      <c r="BB406" s="71"/>
      <c r="BC406" s="71"/>
      <c r="BD406" s="71"/>
      <c r="BE406" s="71"/>
      <c r="BF406" s="71"/>
      <c r="BG406" s="71"/>
      <c r="BH406" s="71"/>
      <c r="BI406" s="71"/>
      <c r="BJ406" s="71"/>
      <c r="BK406" s="71"/>
      <c r="BL406" s="71"/>
      <c r="BM406" s="71"/>
      <c r="BN406" s="71"/>
    </row>
    <row r="407" spans="1:66" ht="12.7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10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  <c r="AR407" s="71"/>
      <c r="AS407" s="71"/>
      <c r="AT407" s="71"/>
      <c r="AU407" s="71"/>
      <c r="AV407" s="71"/>
      <c r="AW407" s="71"/>
      <c r="AX407" s="71"/>
      <c r="AY407" s="71"/>
      <c r="AZ407" s="71"/>
      <c r="BA407" s="71"/>
      <c r="BB407" s="71"/>
      <c r="BC407" s="71"/>
      <c r="BD407" s="71"/>
      <c r="BE407" s="71"/>
      <c r="BF407" s="71"/>
      <c r="BG407" s="71"/>
      <c r="BH407" s="71"/>
      <c r="BI407" s="71"/>
      <c r="BJ407" s="71"/>
      <c r="BK407" s="71"/>
      <c r="BL407" s="71"/>
      <c r="BM407" s="71"/>
      <c r="BN407" s="71"/>
    </row>
    <row r="408" spans="1:66" ht="12.7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10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  <c r="AR408" s="71"/>
      <c r="AS408" s="71"/>
      <c r="AT408" s="71"/>
      <c r="AU408" s="71"/>
      <c r="AV408" s="71"/>
      <c r="AW408" s="71"/>
      <c r="AX408" s="71"/>
      <c r="AY408" s="71"/>
      <c r="AZ408" s="71"/>
      <c r="BA408" s="71"/>
      <c r="BB408" s="71"/>
      <c r="BC408" s="71"/>
      <c r="BD408" s="71"/>
      <c r="BE408" s="71"/>
      <c r="BF408" s="71"/>
      <c r="BG408" s="71"/>
      <c r="BH408" s="71"/>
      <c r="BI408" s="71"/>
      <c r="BJ408" s="71"/>
      <c r="BK408" s="71"/>
      <c r="BL408" s="71"/>
      <c r="BM408" s="71"/>
      <c r="BN408" s="71"/>
    </row>
    <row r="409" spans="1:66" ht="12.7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10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  <c r="AR409" s="71"/>
      <c r="AS409" s="71"/>
      <c r="AT409" s="71"/>
      <c r="AU409" s="71"/>
      <c r="AV409" s="71"/>
      <c r="AW409" s="71"/>
      <c r="AX409" s="71"/>
      <c r="AY409" s="71"/>
      <c r="AZ409" s="71"/>
      <c r="BA409" s="71"/>
      <c r="BB409" s="71"/>
      <c r="BC409" s="71"/>
      <c r="BD409" s="71"/>
      <c r="BE409" s="71"/>
      <c r="BF409" s="71"/>
      <c r="BG409" s="71"/>
      <c r="BH409" s="71"/>
      <c r="BI409" s="71"/>
      <c r="BJ409" s="71"/>
      <c r="BK409" s="71"/>
      <c r="BL409" s="71"/>
      <c r="BM409" s="71"/>
      <c r="BN409" s="71"/>
    </row>
    <row r="410" spans="1:66" ht="12.7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10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  <c r="AR410" s="71"/>
      <c r="AS410" s="71"/>
      <c r="AT410" s="71"/>
      <c r="AU410" s="71"/>
      <c r="AV410" s="71"/>
      <c r="AW410" s="71"/>
      <c r="AX410" s="71"/>
      <c r="AY410" s="71"/>
      <c r="AZ410" s="71"/>
      <c r="BA410" s="71"/>
      <c r="BB410" s="71"/>
      <c r="BC410" s="71"/>
      <c r="BD410" s="71"/>
      <c r="BE410" s="71"/>
      <c r="BF410" s="71"/>
      <c r="BG410" s="71"/>
      <c r="BH410" s="71"/>
      <c r="BI410" s="71"/>
      <c r="BJ410" s="71"/>
      <c r="BK410" s="71"/>
      <c r="BL410" s="71"/>
      <c r="BM410" s="71"/>
      <c r="BN410" s="71"/>
    </row>
    <row r="411" spans="1:66" ht="12.7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10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  <c r="AR411" s="71"/>
      <c r="AS411" s="71"/>
      <c r="AT411" s="71"/>
      <c r="AU411" s="71"/>
      <c r="AV411" s="71"/>
      <c r="AW411" s="71"/>
      <c r="AX411" s="71"/>
      <c r="AY411" s="71"/>
      <c r="AZ411" s="71"/>
      <c r="BA411" s="71"/>
      <c r="BB411" s="71"/>
      <c r="BC411" s="71"/>
      <c r="BD411" s="71"/>
      <c r="BE411" s="71"/>
      <c r="BF411" s="71"/>
      <c r="BG411" s="71"/>
      <c r="BH411" s="71"/>
      <c r="BI411" s="71"/>
      <c r="BJ411" s="71"/>
      <c r="BK411" s="71"/>
      <c r="BL411" s="71"/>
      <c r="BM411" s="71"/>
      <c r="BN411" s="71"/>
    </row>
    <row r="412" spans="1:66" ht="12.7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10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  <c r="AR412" s="71"/>
      <c r="AS412" s="71"/>
      <c r="AT412" s="71"/>
      <c r="AU412" s="71"/>
      <c r="AV412" s="71"/>
      <c r="AW412" s="71"/>
      <c r="AX412" s="71"/>
      <c r="AY412" s="71"/>
      <c r="AZ412" s="71"/>
      <c r="BA412" s="71"/>
      <c r="BB412" s="71"/>
      <c r="BC412" s="71"/>
      <c r="BD412" s="71"/>
      <c r="BE412" s="71"/>
      <c r="BF412" s="71"/>
      <c r="BG412" s="71"/>
      <c r="BH412" s="71"/>
      <c r="BI412" s="71"/>
      <c r="BJ412" s="71"/>
      <c r="BK412" s="71"/>
      <c r="BL412" s="71"/>
      <c r="BM412" s="71"/>
      <c r="BN412" s="71"/>
    </row>
    <row r="413" spans="1:66" ht="12.7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10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  <c r="AR413" s="71"/>
      <c r="AS413" s="71"/>
      <c r="AT413" s="71"/>
      <c r="AU413" s="71"/>
      <c r="AV413" s="71"/>
      <c r="AW413" s="71"/>
      <c r="AX413" s="71"/>
      <c r="AY413" s="71"/>
      <c r="AZ413" s="71"/>
      <c r="BA413" s="71"/>
      <c r="BB413" s="71"/>
      <c r="BC413" s="71"/>
      <c r="BD413" s="71"/>
      <c r="BE413" s="71"/>
      <c r="BF413" s="71"/>
      <c r="BG413" s="71"/>
      <c r="BH413" s="71"/>
      <c r="BI413" s="71"/>
      <c r="BJ413" s="71"/>
      <c r="BK413" s="71"/>
      <c r="BL413" s="71"/>
      <c r="BM413" s="71"/>
      <c r="BN413" s="71"/>
    </row>
    <row r="414" spans="1:66" ht="12.7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10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  <c r="AR414" s="71"/>
      <c r="AS414" s="71"/>
      <c r="AT414" s="71"/>
      <c r="AU414" s="71"/>
      <c r="AV414" s="71"/>
      <c r="AW414" s="71"/>
      <c r="AX414" s="71"/>
      <c r="AY414" s="71"/>
      <c r="AZ414" s="71"/>
      <c r="BA414" s="71"/>
      <c r="BB414" s="71"/>
      <c r="BC414" s="71"/>
      <c r="BD414" s="71"/>
      <c r="BE414" s="71"/>
      <c r="BF414" s="71"/>
      <c r="BG414" s="71"/>
      <c r="BH414" s="71"/>
      <c r="BI414" s="71"/>
      <c r="BJ414" s="71"/>
      <c r="BK414" s="71"/>
      <c r="BL414" s="71"/>
      <c r="BM414" s="71"/>
      <c r="BN414" s="71"/>
    </row>
    <row r="415" spans="1:66" ht="12.7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10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  <c r="AR415" s="71"/>
      <c r="AS415" s="71"/>
      <c r="AT415" s="71"/>
      <c r="AU415" s="71"/>
      <c r="AV415" s="71"/>
      <c r="AW415" s="71"/>
      <c r="AX415" s="71"/>
      <c r="AY415" s="71"/>
      <c r="AZ415" s="71"/>
      <c r="BA415" s="71"/>
      <c r="BB415" s="71"/>
      <c r="BC415" s="71"/>
      <c r="BD415" s="71"/>
      <c r="BE415" s="71"/>
      <c r="BF415" s="71"/>
      <c r="BG415" s="71"/>
      <c r="BH415" s="71"/>
      <c r="BI415" s="71"/>
      <c r="BJ415" s="71"/>
      <c r="BK415" s="71"/>
      <c r="BL415" s="71"/>
      <c r="BM415" s="71"/>
      <c r="BN415" s="71"/>
    </row>
    <row r="416" spans="1:66" ht="12.7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10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  <c r="AR416" s="71"/>
      <c r="AS416" s="71"/>
      <c r="AT416" s="71"/>
      <c r="AU416" s="71"/>
      <c r="AV416" s="71"/>
      <c r="AW416" s="71"/>
      <c r="AX416" s="71"/>
      <c r="AY416" s="71"/>
      <c r="AZ416" s="71"/>
      <c r="BA416" s="71"/>
      <c r="BB416" s="71"/>
      <c r="BC416" s="71"/>
      <c r="BD416" s="71"/>
      <c r="BE416" s="71"/>
      <c r="BF416" s="71"/>
      <c r="BG416" s="71"/>
      <c r="BH416" s="71"/>
      <c r="BI416" s="71"/>
      <c r="BJ416" s="71"/>
      <c r="BK416" s="71"/>
      <c r="BL416" s="71"/>
      <c r="BM416" s="71"/>
      <c r="BN416" s="71"/>
    </row>
    <row r="417" spans="1:66" ht="12.7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10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  <c r="AR417" s="71"/>
      <c r="AS417" s="71"/>
      <c r="AT417" s="71"/>
      <c r="AU417" s="71"/>
      <c r="AV417" s="71"/>
      <c r="AW417" s="71"/>
      <c r="AX417" s="71"/>
      <c r="AY417" s="71"/>
      <c r="AZ417" s="71"/>
      <c r="BA417" s="71"/>
      <c r="BB417" s="71"/>
      <c r="BC417" s="71"/>
      <c r="BD417" s="71"/>
      <c r="BE417" s="71"/>
      <c r="BF417" s="71"/>
      <c r="BG417" s="71"/>
      <c r="BH417" s="71"/>
      <c r="BI417" s="71"/>
      <c r="BJ417" s="71"/>
      <c r="BK417" s="71"/>
      <c r="BL417" s="71"/>
      <c r="BM417" s="71"/>
      <c r="BN417" s="71"/>
    </row>
    <row r="418" spans="1:66" ht="12.7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10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  <c r="AR418" s="71"/>
      <c r="AS418" s="71"/>
      <c r="AT418" s="71"/>
      <c r="AU418" s="71"/>
      <c r="AV418" s="71"/>
      <c r="AW418" s="71"/>
      <c r="AX418" s="71"/>
      <c r="AY418" s="71"/>
      <c r="AZ418" s="71"/>
      <c r="BA418" s="71"/>
      <c r="BB418" s="71"/>
      <c r="BC418" s="71"/>
      <c r="BD418" s="71"/>
      <c r="BE418" s="71"/>
      <c r="BF418" s="71"/>
      <c r="BG418" s="71"/>
      <c r="BH418" s="71"/>
      <c r="BI418" s="71"/>
      <c r="BJ418" s="71"/>
      <c r="BK418" s="71"/>
      <c r="BL418" s="71"/>
      <c r="BM418" s="71"/>
      <c r="BN418" s="71"/>
    </row>
    <row r="419" spans="1:66" ht="12.7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10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  <c r="AR419" s="71"/>
      <c r="AS419" s="71"/>
      <c r="AT419" s="71"/>
      <c r="AU419" s="71"/>
      <c r="AV419" s="71"/>
      <c r="AW419" s="71"/>
      <c r="AX419" s="71"/>
      <c r="AY419" s="71"/>
      <c r="AZ419" s="71"/>
      <c r="BA419" s="71"/>
      <c r="BB419" s="71"/>
      <c r="BC419" s="71"/>
      <c r="BD419" s="71"/>
      <c r="BE419" s="71"/>
      <c r="BF419" s="71"/>
      <c r="BG419" s="71"/>
      <c r="BH419" s="71"/>
      <c r="BI419" s="71"/>
      <c r="BJ419" s="71"/>
      <c r="BK419" s="71"/>
      <c r="BL419" s="71"/>
      <c r="BM419" s="71"/>
      <c r="BN419" s="71"/>
    </row>
    <row r="420" spans="1:66" ht="12.7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10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  <c r="AR420" s="71"/>
      <c r="AS420" s="71"/>
      <c r="AT420" s="71"/>
      <c r="AU420" s="71"/>
      <c r="AV420" s="71"/>
      <c r="AW420" s="71"/>
      <c r="AX420" s="71"/>
      <c r="AY420" s="71"/>
      <c r="AZ420" s="71"/>
      <c r="BA420" s="71"/>
      <c r="BB420" s="71"/>
      <c r="BC420" s="71"/>
      <c r="BD420" s="71"/>
      <c r="BE420" s="71"/>
      <c r="BF420" s="71"/>
      <c r="BG420" s="71"/>
      <c r="BH420" s="71"/>
      <c r="BI420" s="71"/>
      <c r="BJ420" s="71"/>
      <c r="BK420" s="71"/>
      <c r="BL420" s="71"/>
      <c r="BM420" s="71"/>
      <c r="BN420" s="71"/>
    </row>
    <row r="421" spans="1:66" ht="12.7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10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  <c r="AR421" s="71"/>
      <c r="AS421" s="71"/>
      <c r="AT421" s="71"/>
      <c r="AU421" s="71"/>
      <c r="AV421" s="71"/>
      <c r="AW421" s="71"/>
      <c r="AX421" s="71"/>
      <c r="AY421" s="71"/>
      <c r="AZ421" s="71"/>
      <c r="BA421" s="71"/>
      <c r="BB421" s="71"/>
      <c r="BC421" s="71"/>
      <c r="BD421" s="71"/>
      <c r="BE421" s="71"/>
      <c r="BF421" s="71"/>
      <c r="BG421" s="71"/>
      <c r="BH421" s="71"/>
      <c r="BI421" s="71"/>
      <c r="BJ421" s="71"/>
      <c r="BK421" s="71"/>
      <c r="BL421" s="71"/>
      <c r="BM421" s="71"/>
      <c r="BN421" s="71"/>
    </row>
    <row r="422" spans="1:66" ht="12.7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10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  <c r="AR422" s="71"/>
      <c r="AS422" s="71"/>
      <c r="AT422" s="71"/>
      <c r="AU422" s="71"/>
      <c r="AV422" s="71"/>
      <c r="AW422" s="71"/>
      <c r="AX422" s="71"/>
      <c r="AY422" s="71"/>
      <c r="AZ422" s="71"/>
      <c r="BA422" s="71"/>
      <c r="BB422" s="71"/>
      <c r="BC422" s="71"/>
      <c r="BD422" s="71"/>
      <c r="BE422" s="71"/>
      <c r="BF422" s="71"/>
      <c r="BG422" s="71"/>
      <c r="BH422" s="71"/>
      <c r="BI422" s="71"/>
      <c r="BJ422" s="71"/>
      <c r="BK422" s="71"/>
      <c r="BL422" s="71"/>
      <c r="BM422" s="71"/>
      <c r="BN422" s="71"/>
    </row>
    <row r="423" spans="1:66" ht="12.7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10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  <c r="AR423" s="71"/>
      <c r="AS423" s="71"/>
      <c r="AT423" s="71"/>
      <c r="AU423" s="71"/>
      <c r="AV423" s="71"/>
      <c r="AW423" s="71"/>
      <c r="AX423" s="71"/>
      <c r="AY423" s="71"/>
      <c r="AZ423" s="71"/>
      <c r="BA423" s="71"/>
      <c r="BB423" s="71"/>
      <c r="BC423" s="71"/>
      <c r="BD423" s="71"/>
      <c r="BE423" s="71"/>
      <c r="BF423" s="71"/>
      <c r="BG423" s="71"/>
      <c r="BH423" s="71"/>
      <c r="BI423" s="71"/>
      <c r="BJ423" s="71"/>
      <c r="BK423" s="71"/>
      <c r="BL423" s="71"/>
      <c r="BM423" s="71"/>
      <c r="BN423" s="71"/>
    </row>
    <row r="424" spans="1:66" ht="12.7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10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  <c r="AR424" s="71"/>
      <c r="AS424" s="71"/>
      <c r="AT424" s="71"/>
      <c r="AU424" s="71"/>
      <c r="AV424" s="71"/>
      <c r="AW424" s="71"/>
      <c r="AX424" s="71"/>
      <c r="AY424" s="71"/>
      <c r="AZ424" s="71"/>
      <c r="BA424" s="71"/>
      <c r="BB424" s="71"/>
      <c r="BC424" s="71"/>
      <c r="BD424" s="71"/>
      <c r="BE424" s="71"/>
      <c r="BF424" s="71"/>
      <c r="BG424" s="71"/>
      <c r="BH424" s="71"/>
      <c r="BI424" s="71"/>
      <c r="BJ424" s="71"/>
      <c r="BK424" s="71"/>
      <c r="BL424" s="71"/>
      <c r="BM424" s="71"/>
      <c r="BN424" s="71"/>
    </row>
    <row r="425" spans="1:66" ht="12.7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10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  <c r="AR425" s="71"/>
      <c r="AS425" s="71"/>
      <c r="AT425" s="71"/>
      <c r="AU425" s="71"/>
      <c r="AV425" s="71"/>
      <c r="AW425" s="71"/>
      <c r="AX425" s="71"/>
      <c r="AY425" s="71"/>
      <c r="AZ425" s="71"/>
      <c r="BA425" s="71"/>
      <c r="BB425" s="71"/>
      <c r="BC425" s="71"/>
      <c r="BD425" s="71"/>
      <c r="BE425" s="71"/>
      <c r="BF425" s="71"/>
      <c r="BG425" s="71"/>
      <c r="BH425" s="71"/>
      <c r="BI425" s="71"/>
      <c r="BJ425" s="71"/>
      <c r="BK425" s="71"/>
      <c r="BL425" s="71"/>
      <c r="BM425" s="71"/>
      <c r="BN425" s="71"/>
    </row>
    <row r="426" spans="1:66" ht="12.7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10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  <c r="AR426" s="71"/>
      <c r="AS426" s="71"/>
      <c r="AT426" s="71"/>
      <c r="AU426" s="71"/>
      <c r="AV426" s="71"/>
      <c r="AW426" s="71"/>
      <c r="AX426" s="71"/>
      <c r="AY426" s="71"/>
      <c r="AZ426" s="71"/>
      <c r="BA426" s="71"/>
      <c r="BB426" s="71"/>
      <c r="BC426" s="71"/>
      <c r="BD426" s="71"/>
      <c r="BE426" s="71"/>
      <c r="BF426" s="71"/>
      <c r="BG426" s="71"/>
      <c r="BH426" s="71"/>
      <c r="BI426" s="71"/>
      <c r="BJ426" s="71"/>
      <c r="BK426" s="71"/>
      <c r="BL426" s="71"/>
      <c r="BM426" s="71"/>
      <c r="BN426" s="71"/>
    </row>
    <row r="427" spans="1:66" ht="12.7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10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  <c r="AR427" s="71"/>
      <c r="AS427" s="71"/>
      <c r="AT427" s="71"/>
      <c r="AU427" s="71"/>
      <c r="AV427" s="71"/>
      <c r="AW427" s="71"/>
      <c r="AX427" s="71"/>
      <c r="AY427" s="71"/>
      <c r="AZ427" s="71"/>
      <c r="BA427" s="71"/>
      <c r="BB427" s="71"/>
      <c r="BC427" s="71"/>
      <c r="BD427" s="71"/>
      <c r="BE427" s="71"/>
      <c r="BF427" s="71"/>
      <c r="BG427" s="71"/>
      <c r="BH427" s="71"/>
      <c r="BI427" s="71"/>
      <c r="BJ427" s="71"/>
      <c r="BK427" s="71"/>
      <c r="BL427" s="71"/>
      <c r="BM427" s="71"/>
      <c r="BN427" s="71"/>
    </row>
    <row r="428" spans="1:66" ht="12.7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10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  <c r="AR428" s="71"/>
      <c r="AS428" s="71"/>
      <c r="AT428" s="71"/>
      <c r="AU428" s="71"/>
      <c r="AV428" s="71"/>
      <c r="AW428" s="71"/>
      <c r="AX428" s="71"/>
      <c r="AY428" s="71"/>
      <c r="AZ428" s="71"/>
      <c r="BA428" s="71"/>
      <c r="BB428" s="71"/>
      <c r="BC428" s="71"/>
      <c r="BD428" s="71"/>
      <c r="BE428" s="71"/>
      <c r="BF428" s="71"/>
      <c r="BG428" s="71"/>
      <c r="BH428" s="71"/>
      <c r="BI428" s="71"/>
      <c r="BJ428" s="71"/>
      <c r="BK428" s="71"/>
      <c r="BL428" s="71"/>
      <c r="BM428" s="71"/>
      <c r="BN428" s="71"/>
    </row>
    <row r="429" spans="1:66" ht="12.7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10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  <c r="AR429" s="71"/>
      <c r="AS429" s="71"/>
      <c r="AT429" s="71"/>
      <c r="AU429" s="71"/>
      <c r="AV429" s="71"/>
      <c r="AW429" s="71"/>
      <c r="AX429" s="71"/>
      <c r="AY429" s="71"/>
      <c r="AZ429" s="71"/>
      <c r="BA429" s="71"/>
      <c r="BB429" s="71"/>
      <c r="BC429" s="71"/>
      <c r="BD429" s="71"/>
      <c r="BE429" s="71"/>
      <c r="BF429" s="71"/>
      <c r="BG429" s="71"/>
      <c r="BH429" s="71"/>
      <c r="BI429" s="71"/>
      <c r="BJ429" s="71"/>
      <c r="BK429" s="71"/>
      <c r="BL429" s="71"/>
      <c r="BM429" s="71"/>
      <c r="BN429" s="71"/>
    </row>
    <row r="430" spans="1:66" ht="12.7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10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  <c r="AR430" s="71"/>
      <c r="AS430" s="71"/>
      <c r="AT430" s="71"/>
      <c r="AU430" s="71"/>
      <c r="AV430" s="71"/>
      <c r="AW430" s="71"/>
      <c r="AX430" s="71"/>
      <c r="AY430" s="71"/>
      <c r="AZ430" s="71"/>
      <c r="BA430" s="71"/>
      <c r="BB430" s="71"/>
      <c r="BC430" s="71"/>
      <c r="BD430" s="71"/>
      <c r="BE430" s="71"/>
      <c r="BF430" s="71"/>
      <c r="BG430" s="71"/>
      <c r="BH430" s="71"/>
      <c r="BI430" s="71"/>
      <c r="BJ430" s="71"/>
      <c r="BK430" s="71"/>
      <c r="BL430" s="71"/>
      <c r="BM430" s="71"/>
      <c r="BN430" s="71"/>
    </row>
    <row r="431" spans="1:66" ht="12.7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10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  <c r="AR431" s="71"/>
      <c r="AS431" s="71"/>
      <c r="AT431" s="71"/>
      <c r="AU431" s="71"/>
      <c r="AV431" s="71"/>
      <c r="AW431" s="71"/>
      <c r="AX431" s="71"/>
      <c r="AY431" s="71"/>
      <c r="AZ431" s="71"/>
      <c r="BA431" s="71"/>
      <c r="BB431" s="71"/>
      <c r="BC431" s="71"/>
      <c r="BD431" s="71"/>
      <c r="BE431" s="71"/>
      <c r="BF431" s="71"/>
      <c r="BG431" s="71"/>
      <c r="BH431" s="71"/>
      <c r="BI431" s="71"/>
      <c r="BJ431" s="71"/>
      <c r="BK431" s="71"/>
      <c r="BL431" s="71"/>
      <c r="BM431" s="71"/>
      <c r="BN431" s="71"/>
    </row>
    <row r="432" spans="1:66" ht="12.7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10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  <c r="AR432" s="71"/>
      <c r="AS432" s="71"/>
      <c r="AT432" s="71"/>
      <c r="AU432" s="71"/>
      <c r="AV432" s="71"/>
      <c r="AW432" s="71"/>
      <c r="AX432" s="71"/>
      <c r="AY432" s="71"/>
      <c r="AZ432" s="71"/>
      <c r="BA432" s="71"/>
      <c r="BB432" s="71"/>
      <c r="BC432" s="71"/>
      <c r="BD432" s="71"/>
      <c r="BE432" s="71"/>
      <c r="BF432" s="71"/>
      <c r="BG432" s="71"/>
      <c r="BH432" s="71"/>
      <c r="BI432" s="71"/>
      <c r="BJ432" s="71"/>
      <c r="BK432" s="71"/>
      <c r="BL432" s="71"/>
      <c r="BM432" s="71"/>
      <c r="BN432" s="71"/>
    </row>
    <row r="433" spans="1:66" ht="12.7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10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  <c r="AR433" s="71"/>
      <c r="AS433" s="71"/>
      <c r="AT433" s="71"/>
      <c r="AU433" s="71"/>
      <c r="AV433" s="71"/>
      <c r="AW433" s="71"/>
      <c r="AX433" s="71"/>
      <c r="AY433" s="71"/>
      <c r="AZ433" s="71"/>
      <c r="BA433" s="71"/>
      <c r="BB433" s="71"/>
      <c r="BC433" s="71"/>
      <c r="BD433" s="71"/>
      <c r="BE433" s="71"/>
      <c r="BF433" s="71"/>
      <c r="BG433" s="71"/>
      <c r="BH433" s="71"/>
      <c r="BI433" s="71"/>
      <c r="BJ433" s="71"/>
      <c r="BK433" s="71"/>
      <c r="BL433" s="71"/>
      <c r="BM433" s="71"/>
      <c r="BN433" s="71"/>
    </row>
    <row r="434" spans="1:66" ht="12.7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10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  <c r="AR434" s="71"/>
      <c r="AS434" s="71"/>
      <c r="AT434" s="71"/>
      <c r="AU434" s="71"/>
      <c r="AV434" s="71"/>
      <c r="AW434" s="71"/>
      <c r="AX434" s="71"/>
      <c r="AY434" s="71"/>
      <c r="AZ434" s="71"/>
      <c r="BA434" s="71"/>
      <c r="BB434" s="71"/>
      <c r="BC434" s="71"/>
      <c r="BD434" s="71"/>
      <c r="BE434" s="71"/>
      <c r="BF434" s="71"/>
      <c r="BG434" s="71"/>
      <c r="BH434" s="71"/>
      <c r="BI434" s="71"/>
      <c r="BJ434" s="71"/>
      <c r="BK434" s="71"/>
      <c r="BL434" s="71"/>
      <c r="BM434" s="71"/>
      <c r="BN434" s="71"/>
    </row>
    <row r="435" spans="1:66" ht="12.7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10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1"/>
      <c r="BD435" s="71"/>
      <c r="BE435" s="71"/>
      <c r="BF435" s="71"/>
      <c r="BG435" s="71"/>
      <c r="BH435" s="71"/>
      <c r="BI435" s="71"/>
      <c r="BJ435" s="71"/>
      <c r="BK435" s="71"/>
      <c r="BL435" s="71"/>
      <c r="BM435" s="71"/>
      <c r="BN435" s="71"/>
    </row>
    <row r="436" spans="1:66" ht="12.7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10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1"/>
      <c r="BD436" s="71"/>
      <c r="BE436" s="71"/>
      <c r="BF436" s="71"/>
      <c r="BG436" s="71"/>
      <c r="BH436" s="71"/>
      <c r="BI436" s="71"/>
      <c r="BJ436" s="71"/>
      <c r="BK436" s="71"/>
      <c r="BL436" s="71"/>
      <c r="BM436" s="71"/>
      <c r="BN436" s="71"/>
    </row>
    <row r="437" spans="1:66" ht="12.7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10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1"/>
      <c r="BD437" s="71"/>
      <c r="BE437" s="71"/>
      <c r="BF437" s="71"/>
      <c r="BG437" s="71"/>
      <c r="BH437" s="71"/>
      <c r="BI437" s="71"/>
      <c r="BJ437" s="71"/>
      <c r="BK437" s="71"/>
      <c r="BL437" s="71"/>
      <c r="BM437" s="71"/>
      <c r="BN437" s="71"/>
    </row>
    <row r="438" spans="1:66" ht="12.7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10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  <c r="AR438" s="71"/>
      <c r="AS438" s="71"/>
      <c r="AT438" s="71"/>
      <c r="AU438" s="71"/>
      <c r="AV438" s="71"/>
      <c r="AW438" s="71"/>
      <c r="AX438" s="71"/>
      <c r="AY438" s="71"/>
      <c r="AZ438" s="71"/>
      <c r="BA438" s="71"/>
      <c r="BB438" s="71"/>
      <c r="BC438" s="71"/>
      <c r="BD438" s="71"/>
      <c r="BE438" s="71"/>
      <c r="BF438" s="71"/>
      <c r="BG438" s="71"/>
      <c r="BH438" s="71"/>
      <c r="BI438" s="71"/>
      <c r="BJ438" s="71"/>
      <c r="BK438" s="71"/>
      <c r="BL438" s="71"/>
      <c r="BM438" s="71"/>
      <c r="BN438" s="71"/>
    </row>
    <row r="439" spans="1:66" ht="12.7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10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  <c r="AR439" s="71"/>
      <c r="AS439" s="71"/>
      <c r="AT439" s="71"/>
      <c r="AU439" s="71"/>
      <c r="AV439" s="71"/>
      <c r="AW439" s="71"/>
      <c r="AX439" s="71"/>
      <c r="AY439" s="71"/>
      <c r="AZ439" s="71"/>
      <c r="BA439" s="71"/>
      <c r="BB439" s="71"/>
      <c r="BC439" s="71"/>
      <c r="BD439" s="71"/>
      <c r="BE439" s="71"/>
      <c r="BF439" s="71"/>
      <c r="BG439" s="71"/>
      <c r="BH439" s="71"/>
      <c r="BI439" s="71"/>
      <c r="BJ439" s="71"/>
      <c r="BK439" s="71"/>
      <c r="BL439" s="71"/>
      <c r="BM439" s="71"/>
      <c r="BN439" s="71"/>
    </row>
    <row r="440" spans="1:66" ht="12.7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10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  <c r="AR440" s="71"/>
      <c r="AS440" s="71"/>
      <c r="AT440" s="71"/>
      <c r="AU440" s="71"/>
      <c r="AV440" s="71"/>
      <c r="AW440" s="71"/>
      <c r="AX440" s="71"/>
      <c r="AY440" s="71"/>
      <c r="AZ440" s="71"/>
      <c r="BA440" s="71"/>
      <c r="BB440" s="71"/>
      <c r="BC440" s="71"/>
      <c r="BD440" s="71"/>
      <c r="BE440" s="71"/>
      <c r="BF440" s="71"/>
      <c r="BG440" s="71"/>
      <c r="BH440" s="71"/>
      <c r="BI440" s="71"/>
      <c r="BJ440" s="71"/>
      <c r="BK440" s="71"/>
      <c r="BL440" s="71"/>
      <c r="BM440" s="71"/>
      <c r="BN440" s="71"/>
    </row>
    <row r="441" spans="1:66" ht="12.7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10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</row>
    <row r="442" spans="1:66" ht="12.7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10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</row>
    <row r="443" spans="1:66" ht="12.7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10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</row>
    <row r="444" spans="1:66" ht="12.7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10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  <c r="AR444" s="71"/>
      <c r="AS444" s="71"/>
      <c r="AT444" s="71"/>
      <c r="AU444" s="71"/>
      <c r="AV444" s="71"/>
      <c r="AW444" s="71"/>
      <c r="AX444" s="71"/>
      <c r="AY444" s="71"/>
      <c r="AZ444" s="71"/>
      <c r="BA444" s="71"/>
      <c r="BB444" s="71"/>
      <c r="BC444" s="71"/>
      <c r="BD444" s="71"/>
      <c r="BE444" s="71"/>
      <c r="BF444" s="71"/>
      <c r="BG444" s="71"/>
      <c r="BH444" s="71"/>
      <c r="BI444" s="71"/>
      <c r="BJ444" s="71"/>
      <c r="BK444" s="71"/>
      <c r="BL444" s="71"/>
      <c r="BM444" s="71"/>
      <c r="BN444" s="71"/>
    </row>
    <row r="445" spans="1:66" ht="12.7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10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  <c r="AR445" s="71"/>
      <c r="AS445" s="71"/>
      <c r="AT445" s="71"/>
      <c r="AU445" s="71"/>
      <c r="AV445" s="71"/>
      <c r="AW445" s="71"/>
      <c r="AX445" s="71"/>
      <c r="AY445" s="71"/>
      <c r="AZ445" s="71"/>
      <c r="BA445" s="71"/>
      <c r="BB445" s="71"/>
      <c r="BC445" s="71"/>
      <c r="BD445" s="71"/>
      <c r="BE445" s="71"/>
      <c r="BF445" s="71"/>
      <c r="BG445" s="71"/>
      <c r="BH445" s="71"/>
      <c r="BI445" s="71"/>
      <c r="BJ445" s="71"/>
      <c r="BK445" s="71"/>
      <c r="BL445" s="71"/>
      <c r="BM445" s="71"/>
      <c r="BN445" s="71"/>
    </row>
    <row r="446" spans="1:66" ht="12.7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10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  <c r="AR446" s="71"/>
      <c r="AS446" s="71"/>
      <c r="AT446" s="71"/>
      <c r="AU446" s="71"/>
      <c r="AV446" s="71"/>
      <c r="AW446" s="71"/>
      <c r="AX446" s="71"/>
      <c r="AY446" s="71"/>
      <c r="AZ446" s="71"/>
      <c r="BA446" s="71"/>
      <c r="BB446" s="71"/>
      <c r="BC446" s="71"/>
      <c r="BD446" s="71"/>
      <c r="BE446" s="71"/>
      <c r="BF446" s="71"/>
      <c r="BG446" s="71"/>
      <c r="BH446" s="71"/>
      <c r="BI446" s="71"/>
      <c r="BJ446" s="71"/>
      <c r="BK446" s="71"/>
      <c r="BL446" s="71"/>
      <c r="BM446" s="71"/>
      <c r="BN446" s="71"/>
    </row>
    <row r="447" spans="1:66" ht="12.7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10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  <c r="AR447" s="71"/>
      <c r="AS447" s="71"/>
      <c r="AT447" s="71"/>
      <c r="AU447" s="71"/>
      <c r="AV447" s="71"/>
      <c r="AW447" s="71"/>
      <c r="AX447" s="71"/>
      <c r="AY447" s="71"/>
      <c r="AZ447" s="71"/>
      <c r="BA447" s="71"/>
      <c r="BB447" s="71"/>
      <c r="BC447" s="71"/>
      <c r="BD447" s="71"/>
      <c r="BE447" s="71"/>
      <c r="BF447" s="71"/>
      <c r="BG447" s="71"/>
      <c r="BH447" s="71"/>
      <c r="BI447" s="71"/>
      <c r="BJ447" s="71"/>
      <c r="BK447" s="71"/>
      <c r="BL447" s="71"/>
      <c r="BM447" s="71"/>
      <c r="BN447" s="71"/>
    </row>
    <row r="448" spans="1:66" ht="12.7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10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  <c r="AR448" s="71"/>
      <c r="AS448" s="71"/>
      <c r="AT448" s="71"/>
      <c r="AU448" s="71"/>
      <c r="AV448" s="71"/>
      <c r="AW448" s="71"/>
      <c r="AX448" s="71"/>
      <c r="AY448" s="71"/>
      <c r="AZ448" s="71"/>
      <c r="BA448" s="71"/>
      <c r="BB448" s="71"/>
      <c r="BC448" s="71"/>
      <c r="BD448" s="71"/>
      <c r="BE448" s="71"/>
      <c r="BF448" s="71"/>
      <c r="BG448" s="71"/>
      <c r="BH448" s="71"/>
      <c r="BI448" s="71"/>
      <c r="BJ448" s="71"/>
      <c r="BK448" s="71"/>
      <c r="BL448" s="71"/>
      <c r="BM448" s="71"/>
      <c r="BN448" s="71"/>
    </row>
    <row r="449" spans="1:66" ht="12.7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10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  <c r="AR449" s="71"/>
      <c r="AS449" s="71"/>
      <c r="AT449" s="71"/>
      <c r="AU449" s="71"/>
      <c r="AV449" s="71"/>
      <c r="AW449" s="71"/>
      <c r="AX449" s="71"/>
      <c r="AY449" s="71"/>
      <c r="AZ449" s="71"/>
      <c r="BA449" s="71"/>
      <c r="BB449" s="71"/>
      <c r="BC449" s="71"/>
      <c r="BD449" s="71"/>
      <c r="BE449" s="71"/>
      <c r="BF449" s="71"/>
      <c r="BG449" s="71"/>
      <c r="BH449" s="71"/>
      <c r="BI449" s="71"/>
      <c r="BJ449" s="71"/>
      <c r="BK449" s="71"/>
      <c r="BL449" s="71"/>
      <c r="BM449" s="71"/>
      <c r="BN449" s="71"/>
    </row>
    <row r="450" spans="1:66" ht="12.7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10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  <c r="AR450" s="71"/>
      <c r="AS450" s="71"/>
      <c r="AT450" s="71"/>
      <c r="AU450" s="71"/>
      <c r="AV450" s="71"/>
      <c r="AW450" s="71"/>
      <c r="AX450" s="71"/>
      <c r="AY450" s="71"/>
      <c r="AZ450" s="71"/>
      <c r="BA450" s="71"/>
      <c r="BB450" s="71"/>
      <c r="BC450" s="71"/>
      <c r="BD450" s="71"/>
      <c r="BE450" s="71"/>
      <c r="BF450" s="71"/>
      <c r="BG450" s="71"/>
      <c r="BH450" s="71"/>
      <c r="BI450" s="71"/>
      <c r="BJ450" s="71"/>
      <c r="BK450" s="71"/>
      <c r="BL450" s="71"/>
      <c r="BM450" s="71"/>
      <c r="BN450" s="71"/>
    </row>
    <row r="451" spans="1:66" ht="12.7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10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  <c r="AR451" s="71"/>
      <c r="AS451" s="71"/>
      <c r="AT451" s="71"/>
      <c r="AU451" s="71"/>
      <c r="AV451" s="71"/>
      <c r="AW451" s="71"/>
      <c r="AX451" s="71"/>
      <c r="AY451" s="71"/>
      <c r="AZ451" s="71"/>
      <c r="BA451" s="71"/>
      <c r="BB451" s="71"/>
      <c r="BC451" s="71"/>
      <c r="BD451" s="71"/>
      <c r="BE451" s="71"/>
      <c r="BF451" s="71"/>
      <c r="BG451" s="71"/>
      <c r="BH451" s="71"/>
      <c r="BI451" s="71"/>
      <c r="BJ451" s="71"/>
      <c r="BK451" s="71"/>
      <c r="BL451" s="71"/>
      <c r="BM451" s="71"/>
      <c r="BN451" s="71"/>
    </row>
    <row r="452" spans="1:66" ht="12.75">
      <c r="A452" s="71"/>
      <c r="B452" s="71"/>
      <c r="C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10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  <c r="AR452" s="71"/>
      <c r="AS452" s="71"/>
      <c r="AT452" s="71"/>
      <c r="AU452" s="71"/>
      <c r="AV452" s="71"/>
      <c r="AW452" s="71"/>
      <c r="AX452" s="71"/>
      <c r="AY452" s="71"/>
      <c r="AZ452" s="71"/>
      <c r="BA452" s="71"/>
      <c r="BB452" s="71"/>
      <c r="BC452" s="71"/>
      <c r="BD452" s="71"/>
      <c r="BE452" s="71"/>
      <c r="BF452" s="71"/>
      <c r="BG452" s="71"/>
      <c r="BH452" s="71"/>
      <c r="BI452" s="71"/>
      <c r="BJ452" s="71"/>
      <c r="BK452" s="71"/>
      <c r="BL452" s="71"/>
      <c r="BM452" s="71"/>
      <c r="BN452" s="71"/>
    </row>
    <row r="453" spans="14:66" ht="12.75">
      <c r="N453" s="71"/>
      <c r="O453" s="71"/>
      <c r="P453" s="71"/>
      <c r="Q453" s="71"/>
      <c r="R453" s="71"/>
      <c r="S453" s="71"/>
      <c r="T453" s="71"/>
      <c r="U453" s="71"/>
      <c r="V453" s="71"/>
      <c r="W453" s="10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  <c r="AR453" s="71"/>
      <c r="AS453" s="71"/>
      <c r="AT453" s="71"/>
      <c r="AU453" s="71"/>
      <c r="AV453" s="71"/>
      <c r="AW453" s="71"/>
      <c r="AX453" s="71"/>
      <c r="AY453" s="71"/>
      <c r="AZ453" s="71"/>
      <c r="BA453" s="71"/>
      <c r="BB453" s="71"/>
      <c r="BC453" s="71"/>
      <c r="BD453" s="71"/>
      <c r="BE453" s="71"/>
      <c r="BF453" s="71"/>
      <c r="BG453" s="71"/>
      <c r="BH453" s="71"/>
      <c r="BI453" s="71"/>
      <c r="BJ453" s="71"/>
      <c r="BK453" s="71"/>
      <c r="BL453" s="71"/>
      <c r="BM453" s="71"/>
      <c r="BN453" s="71"/>
    </row>
    <row r="454" spans="14:66" ht="12.75">
      <c r="N454" s="71"/>
      <c r="O454" s="71"/>
      <c r="P454" s="71"/>
      <c r="Q454" s="71"/>
      <c r="R454" s="71"/>
      <c r="S454" s="71"/>
      <c r="T454" s="71"/>
      <c r="U454" s="71"/>
      <c r="V454" s="71"/>
      <c r="W454" s="10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  <c r="AR454" s="71"/>
      <c r="AS454" s="71"/>
      <c r="AT454" s="71"/>
      <c r="AU454" s="71"/>
      <c r="AV454" s="71"/>
      <c r="AW454" s="71"/>
      <c r="AX454" s="71"/>
      <c r="AY454" s="71"/>
      <c r="AZ454" s="71"/>
      <c r="BA454" s="71"/>
      <c r="BB454" s="71"/>
      <c r="BC454" s="71"/>
      <c r="BD454" s="71"/>
      <c r="BE454" s="71"/>
      <c r="BF454" s="71"/>
      <c r="BG454" s="71"/>
      <c r="BH454" s="71"/>
      <c r="BI454" s="71"/>
      <c r="BJ454" s="71"/>
      <c r="BK454" s="71"/>
      <c r="BL454" s="71"/>
      <c r="BM454" s="71"/>
      <c r="BN454" s="71"/>
    </row>
    <row r="455" spans="14:66" ht="12.75">
      <c r="N455" s="71"/>
      <c r="O455" s="71"/>
      <c r="P455" s="71"/>
      <c r="Q455" s="71"/>
      <c r="R455" s="71"/>
      <c r="S455" s="71"/>
      <c r="T455" s="71"/>
      <c r="U455" s="71"/>
      <c r="V455" s="71"/>
      <c r="W455" s="10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  <c r="AR455" s="71"/>
      <c r="AS455" s="71"/>
      <c r="AT455" s="71"/>
      <c r="AU455" s="71"/>
      <c r="AV455" s="71"/>
      <c r="AW455" s="71"/>
      <c r="AX455" s="71"/>
      <c r="AY455" s="71"/>
      <c r="AZ455" s="71"/>
      <c r="BA455" s="71"/>
      <c r="BB455" s="71"/>
      <c r="BC455" s="71"/>
      <c r="BD455" s="71"/>
      <c r="BE455" s="71"/>
      <c r="BF455" s="71"/>
      <c r="BG455" s="71"/>
      <c r="BH455" s="71"/>
      <c r="BI455" s="71"/>
      <c r="BJ455" s="71"/>
      <c r="BK455" s="71"/>
      <c r="BL455" s="71"/>
      <c r="BM455" s="71"/>
      <c r="BN455" s="71"/>
    </row>
    <row r="456" spans="14:66" ht="12.75">
      <c r="N456" s="71"/>
      <c r="O456" s="71"/>
      <c r="P456" s="71"/>
      <c r="Q456" s="71"/>
      <c r="R456" s="71"/>
      <c r="S456" s="71"/>
      <c r="T456" s="71"/>
      <c r="U456" s="71"/>
      <c r="V456" s="71"/>
      <c r="W456" s="10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  <c r="AR456" s="71"/>
      <c r="AS456" s="71"/>
      <c r="AT456" s="71"/>
      <c r="AU456" s="71"/>
      <c r="AV456" s="71"/>
      <c r="AW456" s="71"/>
      <c r="AX456" s="71"/>
      <c r="AY456" s="71"/>
      <c r="AZ456" s="71"/>
      <c r="BA456" s="71"/>
      <c r="BB456" s="71"/>
      <c r="BC456" s="71"/>
      <c r="BD456" s="71"/>
      <c r="BE456" s="71"/>
      <c r="BF456" s="71"/>
      <c r="BG456" s="71"/>
      <c r="BH456" s="71"/>
      <c r="BI456" s="71"/>
      <c r="BJ456" s="71"/>
      <c r="BK456" s="71"/>
      <c r="BL456" s="71"/>
      <c r="BM456" s="71"/>
      <c r="BN456" s="71"/>
    </row>
    <row r="457" spans="14:66" ht="12.75">
      <c r="N457" s="71"/>
      <c r="O457" s="71"/>
      <c r="P457" s="71"/>
      <c r="Q457" s="71"/>
      <c r="R457" s="71"/>
      <c r="S457" s="71"/>
      <c r="T457" s="71"/>
      <c r="U457" s="71"/>
      <c r="V457" s="71"/>
      <c r="W457" s="10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  <c r="AR457" s="71"/>
      <c r="AS457" s="71"/>
      <c r="AT457" s="71"/>
      <c r="AU457" s="71"/>
      <c r="AV457" s="71"/>
      <c r="AW457" s="71"/>
      <c r="AX457" s="71"/>
      <c r="AY457" s="71"/>
      <c r="AZ457" s="71"/>
      <c r="BA457" s="71"/>
      <c r="BB457" s="71"/>
      <c r="BC457" s="71"/>
      <c r="BD457" s="71"/>
      <c r="BE457" s="71"/>
      <c r="BF457" s="71"/>
      <c r="BG457" s="71"/>
      <c r="BH457" s="71"/>
      <c r="BI457" s="71"/>
      <c r="BJ457" s="71"/>
      <c r="BK457" s="71"/>
      <c r="BL457" s="71"/>
      <c r="BM457" s="71"/>
      <c r="BN457" s="71"/>
    </row>
    <row r="458" spans="14:66" ht="12.75">
      <c r="N458" s="71"/>
      <c r="O458" s="71"/>
      <c r="P458" s="71"/>
      <c r="Q458" s="71"/>
      <c r="R458" s="71"/>
      <c r="S458" s="71"/>
      <c r="T458" s="71"/>
      <c r="U458" s="71"/>
      <c r="V458" s="71"/>
      <c r="W458" s="10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  <c r="AS458" s="71"/>
      <c r="AT458" s="71"/>
      <c r="AU458" s="71"/>
      <c r="AV458" s="71"/>
      <c r="AW458" s="71"/>
      <c r="AX458" s="71"/>
      <c r="AY458" s="71"/>
      <c r="AZ458" s="71"/>
      <c r="BA458" s="71"/>
      <c r="BB458" s="71"/>
      <c r="BC458" s="71"/>
      <c r="BD458" s="71"/>
      <c r="BE458" s="71"/>
      <c r="BF458" s="71"/>
      <c r="BG458" s="71"/>
      <c r="BH458" s="71"/>
      <c r="BI458" s="71"/>
      <c r="BJ458" s="71"/>
      <c r="BK458" s="71"/>
      <c r="BL458" s="71"/>
      <c r="BM458" s="71"/>
      <c r="BN458" s="71"/>
    </row>
    <row r="459" spans="14:66" ht="12.75">
      <c r="N459" s="71"/>
      <c r="O459" s="71"/>
      <c r="P459" s="71"/>
      <c r="Q459" s="71"/>
      <c r="R459" s="71"/>
      <c r="S459" s="71"/>
      <c r="T459" s="71"/>
      <c r="U459" s="71"/>
      <c r="V459" s="71"/>
      <c r="W459" s="10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  <c r="AR459" s="71"/>
      <c r="AS459" s="71"/>
      <c r="AT459" s="71"/>
      <c r="AU459" s="71"/>
      <c r="AV459" s="71"/>
      <c r="AW459" s="71"/>
      <c r="AX459" s="71"/>
      <c r="AY459" s="71"/>
      <c r="AZ459" s="71"/>
      <c r="BA459" s="71"/>
      <c r="BB459" s="71"/>
      <c r="BC459" s="71"/>
      <c r="BD459" s="71"/>
      <c r="BE459" s="71"/>
      <c r="BF459" s="71"/>
      <c r="BG459" s="71"/>
      <c r="BH459" s="71"/>
      <c r="BI459" s="71"/>
      <c r="BJ459" s="71"/>
      <c r="BK459" s="71"/>
      <c r="BL459" s="71"/>
      <c r="BM459" s="71"/>
      <c r="BN459" s="71"/>
    </row>
    <row r="460" spans="14:66" ht="12.75">
      <c r="N460" s="71"/>
      <c r="O460" s="71"/>
      <c r="P460" s="71"/>
      <c r="Q460" s="71"/>
      <c r="R460" s="71"/>
      <c r="S460" s="71"/>
      <c r="T460" s="71"/>
      <c r="U460" s="71"/>
      <c r="V460" s="71"/>
      <c r="W460" s="10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  <c r="AR460" s="71"/>
      <c r="AS460" s="71"/>
      <c r="AT460" s="71"/>
      <c r="AU460" s="71"/>
      <c r="AV460" s="71"/>
      <c r="AW460" s="71"/>
      <c r="AX460" s="71"/>
      <c r="AY460" s="71"/>
      <c r="AZ460" s="71"/>
      <c r="BA460" s="71"/>
      <c r="BB460" s="71"/>
      <c r="BC460" s="71"/>
      <c r="BD460" s="71"/>
      <c r="BE460" s="71"/>
      <c r="BF460" s="71"/>
      <c r="BG460" s="71"/>
      <c r="BH460" s="71"/>
      <c r="BI460" s="71"/>
      <c r="BJ460" s="71"/>
      <c r="BK460" s="71"/>
      <c r="BL460" s="71"/>
      <c r="BM460" s="71"/>
      <c r="BN460" s="71"/>
    </row>
    <row r="461" spans="14:66" ht="12.75">
      <c r="N461" s="71"/>
      <c r="O461" s="71"/>
      <c r="P461" s="71"/>
      <c r="Q461" s="71"/>
      <c r="R461" s="71"/>
      <c r="S461" s="71"/>
      <c r="T461" s="71"/>
      <c r="U461" s="71"/>
      <c r="V461" s="71"/>
      <c r="W461" s="10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  <c r="AR461" s="71"/>
      <c r="AS461" s="71"/>
      <c r="AT461" s="71"/>
      <c r="AU461" s="71"/>
      <c r="AV461" s="71"/>
      <c r="AW461" s="71"/>
      <c r="AX461" s="71"/>
      <c r="AY461" s="71"/>
      <c r="AZ461" s="71"/>
      <c r="BA461" s="71"/>
      <c r="BB461" s="71"/>
      <c r="BC461" s="71"/>
      <c r="BD461" s="71"/>
      <c r="BE461" s="71"/>
      <c r="BF461" s="71"/>
      <c r="BG461" s="71"/>
      <c r="BH461" s="71"/>
      <c r="BI461" s="71"/>
      <c r="BJ461" s="71"/>
      <c r="BK461" s="71"/>
      <c r="BL461" s="71"/>
      <c r="BM461" s="71"/>
      <c r="BN461" s="71"/>
    </row>
    <row r="462" spans="14:66" ht="12.75">
      <c r="N462" s="71"/>
      <c r="O462" s="71"/>
      <c r="P462" s="71"/>
      <c r="Q462" s="71"/>
      <c r="R462" s="71"/>
      <c r="S462" s="71"/>
      <c r="T462" s="71"/>
      <c r="U462" s="71"/>
      <c r="V462" s="71"/>
      <c r="W462" s="10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  <c r="AR462" s="71"/>
      <c r="AS462" s="71"/>
      <c r="AT462" s="71"/>
      <c r="AU462" s="71"/>
      <c r="AV462" s="71"/>
      <c r="AW462" s="71"/>
      <c r="AX462" s="71"/>
      <c r="AY462" s="71"/>
      <c r="AZ462" s="71"/>
      <c r="BA462" s="71"/>
      <c r="BB462" s="71"/>
      <c r="BC462" s="71"/>
      <c r="BD462" s="71"/>
      <c r="BE462" s="71"/>
      <c r="BF462" s="71"/>
      <c r="BG462" s="71"/>
      <c r="BH462" s="71"/>
      <c r="BI462" s="71"/>
      <c r="BJ462" s="71"/>
      <c r="BK462" s="71"/>
      <c r="BL462" s="71"/>
      <c r="BM462" s="71"/>
      <c r="BN462" s="71"/>
    </row>
    <row r="463" spans="14:66" ht="12.75">
      <c r="N463" s="71"/>
      <c r="O463" s="71"/>
      <c r="P463" s="71"/>
      <c r="Q463" s="71"/>
      <c r="R463" s="71"/>
      <c r="S463" s="71"/>
      <c r="T463" s="71"/>
      <c r="U463" s="71"/>
      <c r="V463" s="71"/>
      <c r="W463" s="10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  <c r="AR463" s="71"/>
      <c r="AS463" s="71"/>
      <c r="AT463" s="71"/>
      <c r="AU463" s="71"/>
      <c r="AV463" s="71"/>
      <c r="AW463" s="71"/>
      <c r="AX463" s="71"/>
      <c r="AY463" s="71"/>
      <c r="AZ463" s="71"/>
      <c r="BA463" s="71"/>
      <c r="BB463" s="71"/>
      <c r="BC463" s="71"/>
      <c r="BD463" s="71"/>
      <c r="BE463" s="71"/>
      <c r="BF463" s="71"/>
      <c r="BG463" s="71"/>
      <c r="BH463" s="71"/>
      <c r="BI463" s="71"/>
      <c r="BJ463" s="71"/>
      <c r="BK463" s="71"/>
      <c r="BL463" s="71"/>
      <c r="BM463" s="71"/>
      <c r="BN463" s="71"/>
    </row>
    <row r="464" spans="14:66" ht="12.75">
      <c r="N464" s="71"/>
      <c r="O464" s="71"/>
      <c r="P464" s="71"/>
      <c r="Q464" s="71"/>
      <c r="R464" s="71"/>
      <c r="S464" s="71"/>
      <c r="T464" s="71"/>
      <c r="U464" s="71"/>
      <c r="V464" s="71"/>
      <c r="W464" s="10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  <c r="AR464" s="71"/>
      <c r="AS464" s="71"/>
      <c r="AT464" s="71"/>
      <c r="AU464" s="71"/>
      <c r="AV464" s="71"/>
      <c r="AW464" s="71"/>
      <c r="AX464" s="71"/>
      <c r="AY464" s="71"/>
      <c r="AZ464" s="71"/>
      <c r="BA464" s="71"/>
      <c r="BB464" s="71"/>
      <c r="BC464" s="71"/>
      <c r="BD464" s="71"/>
      <c r="BE464" s="71"/>
      <c r="BF464" s="71"/>
      <c r="BG464" s="71"/>
      <c r="BH464" s="71"/>
      <c r="BI464" s="71"/>
      <c r="BJ464" s="71"/>
      <c r="BK464" s="71"/>
      <c r="BL464" s="71"/>
      <c r="BM464" s="71"/>
      <c r="BN464" s="71"/>
    </row>
    <row r="465" spans="14:66" ht="12.75">
      <c r="N465" s="71"/>
      <c r="O465" s="71"/>
      <c r="P465" s="71"/>
      <c r="Q465" s="71"/>
      <c r="R465" s="71"/>
      <c r="S465" s="71"/>
      <c r="T465" s="71"/>
      <c r="U465" s="71"/>
      <c r="V465" s="71"/>
      <c r="W465" s="10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  <c r="AR465" s="71"/>
      <c r="AS465" s="71"/>
      <c r="AT465" s="71"/>
      <c r="AU465" s="71"/>
      <c r="AV465" s="71"/>
      <c r="AW465" s="71"/>
      <c r="AX465" s="71"/>
      <c r="AY465" s="71"/>
      <c r="AZ465" s="71"/>
      <c r="BA465" s="71"/>
      <c r="BB465" s="71"/>
      <c r="BC465" s="71"/>
      <c r="BD465" s="71"/>
      <c r="BE465" s="71"/>
      <c r="BF465" s="71"/>
      <c r="BG465" s="71"/>
      <c r="BH465" s="71"/>
      <c r="BI465" s="71"/>
      <c r="BJ465" s="71"/>
      <c r="BK465" s="71"/>
      <c r="BL465" s="71"/>
      <c r="BM465" s="71"/>
      <c r="BN465" s="71"/>
    </row>
    <row r="466" spans="14:66" ht="12.75">
      <c r="N466" s="71"/>
      <c r="O466" s="71"/>
      <c r="P466" s="71"/>
      <c r="Q466" s="71"/>
      <c r="R466" s="71"/>
      <c r="S466" s="71"/>
      <c r="T466" s="71"/>
      <c r="U466" s="71"/>
      <c r="V466" s="71"/>
      <c r="W466" s="10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  <c r="AR466" s="71"/>
      <c r="AS466" s="71"/>
      <c r="AT466" s="71"/>
      <c r="AU466" s="71"/>
      <c r="AV466" s="71"/>
      <c r="AW466" s="71"/>
      <c r="AX466" s="71"/>
      <c r="AY466" s="71"/>
      <c r="AZ466" s="71"/>
      <c r="BA466" s="71"/>
      <c r="BB466" s="71"/>
      <c r="BC466" s="71"/>
      <c r="BD466" s="71"/>
      <c r="BE466" s="71"/>
      <c r="BF466" s="71"/>
      <c r="BG466" s="71"/>
      <c r="BH466" s="71"/>
      <c r="BI466" s="71"/>
      <c r="BJ466" s="71"/>
      <c r="BK466" s="71"/>
      <c r="BL466" s="71"/>
      <c r="BM466" s="71"/>
      <c r="BN466" s="71"/>
    </row>
  </sheetData>
  <mergeCells count="24">
    <mergeCell ref="V6:V8"/>
    <mergeCell ref="W6:W8"/>
    <mergeCell ref="U7:U8"/>
    <mergeCell ref="R7:R8"/>
    <mergeCell ref="S7:S8"/>
    <mergeCell ref="T7:T8"/>
    <mergeCell ref="R6:S6"/>
    <mergeCell ref="T6:U6"/>
    <mergeCell ref="AB6:AB8"/>
    <mergeCell ref="X6:X8"/>
    <mergeCell ref="Y6:Y8"/>
    <mergeCell ref="Z6:Z8"/>
    <mergeCell ref="AA6:AA8"/>
    <mergeCell ref="A6:A8"/>
    <mergeCell ref="B6:B8"/>
    <mergeCell ref="C6:C8"/>
    <mergeCell ref="D6:D8"/>
    <mergeCell ref="I6:L7"/>
    <mergeCell ref="M6:P7"/>
    <mergeCell ref="Q6:Q8"/>
    <mergeCell ref="E6:E8"/>
    <mergeCell ref="F6:F8"/>
    <mergeCell ref="G6:G8"/>
    <mergeCell ref="H6:H8"/>
  </mergeCells>
  <printOptions/>
  <pageMargins left="0.5" right="0.27" top="1.65" bottom="1.66" header="0.5" footer="0.5"/>
  <pageSetup horizontalDpi="600" verticalDpi="600" orientation="landscape" pageOrder="overThenDown" r:id="rId3"/>
  <headerFooter alignWithMargins="0">
    <oddHeader>&amp;L
Chevron Products Company
Site Name:  Salt Lake Refinery
Site ID:  10119&amp;C&amp;"Arial,Bold"Regional Haze
&amp;"Arial,Regular"1998 Statewide SOx Sources</oddHeader>
    <oddFooter>&amp;R&amp;D
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42"/>
  <sheetViews>
    <sheetView workbookViewId="0" topLeftCell="P7">
      <selection activeCell="A1" sqref="A1"/>
    </sheetView>
  </sheetViews>
  <sheetFormatPr defaultColWidth="9.140625" defaultRowHeight="12.75"/>
  <cols>
    <col min="1" max="1" width="7.7109375" style="0" customWidth="1"/>
    <col min="2" max="2" width="7.8515625" style="0" customWidth="1"/>
    <col min="3" max="3" width="9.57421875" style="0" customWidth="1"/>
    <col min="4" max="4" width="9.7109375" style="0" customWidth="1"/>
    <col min="5" max="5" width="24.421875" style="0" customWidth="1"/>
    <col min="6" max="6" width="8.421875" style="0" customWidth="1"/>
    <col min="7" max="7" width="10.421875" style="0" customWidth="1"/>
    <col min="8" max="8" width="16.8515625" style="0" customWidth="1"/>
    <col min="9" max="9" width="8.57421875" style="0" customWidth="1"/>
    <col min="10" max="10" width="11.8515625" style="0" customWidth="1"/>
    <col min="12" max="12" width="8.57421875" style="0" customWidth="1"/>
    <col min="13" max="13" width="8.140625" style="0" customWidth="1"/>
    <col min="14" max="15" width="7.28125" style="0" customWidth="1"/>
    <col min="16" max="16" width="6.00390625" style="0" customWidth="1"/>
    <col min="18" max="18" width="15.00390625" style="0" customWidth="1"/>
    <col min="20" max="20" width="18.28125" style="0" customWidth="1"/>
    <col min="22" max="22" width="9.7109375" style="0" customWidth="1"/>
    <col min="23" max="23" width="10.28125" style="0" customWidth="1"/>
    <col min="24" max="24" width="11.421875" style="0" customWidth="1"/>
    <col min="25" max="25" width="8.421875" style="0" customWidth="1"/>
    <col min="27" max="27" width="11.00390625" style="0" customWidth="1"/>
    <col min="28" max="28" width="31.57421875" style="0" customWidth="1"/>
  </cols>
  <sheetData>
    <row r="1" spans="2:5" ht="15.75">
      <c r="B1" s="12"/>
      <c r="E1" s="2" t="s">
        <v>84</v>
      </c>
    </row>
    <row r="2" spans="1:5" ht="15.75">
      <c r="A2" s="66"/>
      <c r="B2" s="12"/>
      <c r="E2" s="2"/>
    </row>
    <row r="3" spans="1:5" ht="15.75">
      <c r="A3" s="5" t="s">
        <v>225</v>
      </c>
      <c r="B3" s="12"/>
      <c r="E3" s="2"/>
    </row>
    <row r="4" spans="1:5" ht="15">
      <c r="A4" s="12" t="s">
        <v>260</v>
      </c>
      <c r="B4" s="12"/>
      <c r="E4" s="3" t="s">
        <v>737</v>
      </c>
    </row>
    <row r="5" spans="1:3" ht="12.75">
      <c r="A5" s="12" t="s">
        <v>53</v>
      </c>
      <c r="B5" s="12" t="s">
        <v>54</v>
      </c>
      <c r="C5" s="5" t="s">
        <v>226</v>
      </c>
    </row>
    <row r="6" spans="1:2" ht="12.75">
      <c r="A6" s="22">
        <v>10313</v>
      </c>
      <c r="B6" s="12"/>
    </row>
    <row r="7" spans="1:45" ht="13.5" thickBo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</row>
    <row r="8" spans="1:66" ht="16.5" customHeight="1">
      <c r="A8" s="558" t="s">
        <v>83</v>
      </c>
      <c r="B8" s="561" t="s">
        <v>69</v>
      </c>
      <c r="C8" s="541" t="s">
        <v>68</v>
      </c>
      <c r="D8" s="541" t="s">
        <v>67</v>
      </c>
      <c r="E8" s="541" t="s">
        <v>66</v>
      </c>
      <c r="F8" s="541" t="s">
        <v>63</v>
      </c>
      <c r="G8" s="541" t="s">
        <v>64</v>
      </c>
      <c r="H8" s="541" t="s">
        <v>65</v>
      </c>
      <c r="I8" s="572" t="s">
        <v>439</v>
      </c>
      <c r="J8" s="596"/>
      <c r="K8" s="596"/>
      <c r="L8" s="597"/>
      <c r="M8" s="608" t="s">
        <v>55</v>
      </c>
      <c r="N8" s="596"/>
      <c r="O8" s="596"/>
      <c r="P8" s="596"/>
      <c r="Q8" s="541" t="s">
        <v>72</v>
      </c>
      <c r="R8" s="572" t="s">
        <v>70</v>
      </c>
      <c r="S8" s="572"/>
      <c r="T8" s="572" t="s">
        <v>71</v>
      </c>
      <c r="U8" s="572"/>
      <c r="V8" s="541" t="s">
        <v>80</v>
      </c>
      <c r="W8" s="614" t="s">
        <v>305</v>
      </c>
      <c r="X8" s="541" t="s">
        <v>74</v>
      </c>
      <c r="Y8" s="541" t="s">
        <v>76</v>
      </c>
      <c r="Z8" s="541" t="s">
        <v>77</v>
      </c>
      <c r="AA8" s="541" t="s">
        <v>78</v>
      </c>
      <c r="AB8" s="603" t="s">
        <v>79</v>
      </c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</row>
    <row r="9" spans="1:66" s="1" customFormat="1" ht="24.75" customHeight="1">
      <c r="A9" s="602"/>
      <c r="B9" s="600"/>
      <c r="C9" s="598"/>
      <c r="D9" s="598"/>
      <c r="E9" s="598"/>
      <c r="F9" s="598"/>
      <c r="G9" s="598"/>
      <c r="H9" s="598"/>
      <c r="I9" s="598"/>
      <c r="J9" s="598"/>
      <c r="K9" s="598"/>
      <c r="L9" s="599"/>
      <c r="M9" s="609"/>
      <c r="N9" s="598"/>
      <c r="O9" s="598"/>
      <c r="P9" s="598"/>
      <c r="Q9" s="601"/>
      <c r="R9" s="557" t="s">
        <v>81</v>
      </c>
      <c r="S9" s="557" t="s">
        <v>73</v>
      </c>
      <c r="T9" s="557" t="s">
        <v>82</v>
      </c>
      <c r="U9" s="557" t="s">
        <v>73</v>
      </c>
      <c r="V9" s="557"/>
      <c r="W9" s="615"/>
      <c r="X9" s="557"/>
      <c r="Y9" s="557"/>
      <c r="Z9" s="557"/>
      <c r="AA9" s="601"/>
      <c r="AB9" s="604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</row>
    <row r="10" spans="1:66" ht="25.5" customHeight="1" thickBot="1">
      <c r="A10" s="612"/>
      <c r="B10" s="613"/>
      <c r="C10" s="611"/>
      <c r="D10" s="611"/>
      <c r="E10" s="611"/>
      <c r="F10" s="611"/>
      <c r="G10" s="611"/>
      <c r="H10" s="611"/>
      <c r="I10" s="56" t="s">
        <v>57</v>
      </c>
      <c r="J10" s="56" t="s">
        <v>58</v>
      </c>
      <c r="K10" s="56" t="s">
        <v>56</v>
      </c>
      <c r="L10" s="183" t="s">
        <v>59</v>
      </c>
      <c r="M10" s="184" t="s">
        <v>60</v>
      </c>
      <c r="N10" s="56" t="s">
        <v>59</v>
      </c>
      <c r="O10" s="56" t="s">
        <v>61</v>
      </c>
      <c r="P10" s="56" t="s">
        <v>62</v>
      </c>
      <c r="Q10" s="610"/>
      <c r="R10" s="563"/>
      <c r="S10" s="563"/>
      <c r="T10" s="610"/>
      <c r="U10" s="563"/>
      <c r="V10" s="563"/>
      <c r="W10" s="616"/>
      <c r="X10" s="563"/>
      <c r="Y10" s="563"/>
      <c r="Z10" s="563"/>
      <c r="AA10" s="610"/>
      <c r="AB10" s="617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</row>
    <row r="11" spans="1:45" s="7" customFormat="1" ht="12.75">
      <c r="A11" s="451" t="s">
        <v>135</v>
      </c>
      <c r="B11" s="452">
        <v>982</v>
      </c>
      <c r="C11" s="453" t="s">
        <v>227</v>
      </c>
      <c r="D11" s="452">
        <v>20200301</v>
      </c>
      <c r="E11" s="453" t="s">
        <v>228</v>
      </c>
      <c r="F11" s="452" t="s">
        <v>114</v>
      </c>
      <c r="G11" s="452">
        <v>0</v>
      </c>
      <c r="H11" s="453" t="s">
        <v>229</v>
      </c>
      <c r="I11" s="452">
        <v>4.321</v>
      </c>
      <c r="J11" s="453" t="s">
        <v>693</v>
      </c>
      <c r="K11" s="452">
        <v>0</v>
      </c>
      <c r="L11" s="452">
        <v>0</v>
      </c>
      <c r="M11" s="452">
        <v>0</v>
      </c>
      <c r="N11" s="452">
        <v>0</v>
      </c>
      <c r="O11" s="452">
        <v>0</v>
      </c>
      <c r="P11" s="452">
        <v>0</v>
      </c>
      <c r="Q11" s="453" t="s">
        <v>92</v>
      </c>
      <c r="R11" s="453"/>
      <c r="S11" s="453"/>
      <c r="T11" s="453"/>
      <c r="U11" s="453"/>
      <c r="V11" s="453"/>
      <c r="W11" s="454">
        <f>Z11*I11/2000</f>
        <v>0.01140744</v>
      </c>
      <c r="X11" s="454"/>
      <c r="Y11" s="452">
        <v>3</v>
      </c>
      <c r="Z11" s="452">
        <v>5.28</v>
      </c>
      <c r="AA11" s="453" t="s">
        <v>694</v>
      </c>
      <c r="AB11" s="455" t="s">
        <v>230</v>
      </c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</row>
    <row r="12" spans="1:45" s="7" customFormat="1" ht="12.75">
      <c r="A12" s="456" t="s">
        <v>135</v>
      </c>
      <c r="B12" s="108">
        <v>1030</v>
      </c>
      <c r="C12" s="122" t="s">
        <v>109</v>
      </c>
      <c r="D12" s="108">
        <v>20200101</v>
      </c>
      <c r="E12" s="122" t="s">
        <v>231</v>
      </c>
      <c r="F12" s="108" t="s">
        <v>114</v>
      </c>
      <c r="G12" s="108">
        <v>0</v>
      </c>
      <c r="H12" s="122" t="s">
        <v>232</v>
      </c>
      <c r="I12" s="108">
        <v>4.037</v>
      </c>
      <c r="J12" s="122" t="s">
        <v>693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22" t="s">
        <v>92</v>
      </c>
      <c r="R12" s="122"/>
      <c r="S12" s="122"/>
      <c r="T12" s="122"/>
      <c r="U12" s="122"/>
      <c r="V12" s="122"/>
      <c r="W12" s="160">
        <f>Z12*I12/2000</f>
        <v>0.06277535000000001</v>
      </c>
      <c r="X12" s="160"/>
      <c r="Y12" s="108">
        <v>3</v>
      </c>
      <c r="Z12" s="108">
        <v>31.1</v>
      </c>
      <c r="AA12" s="122" t="s">
        <v>694</v>
      </c>
      <c r="AB12" s="130" t="s">
        <v>233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</row>
    <row r="13" spans="1:45" s="7" customFormat="1" ht="12.75">
      <c r="A13" s="456" t="s">
        <v>135</v>
      </c>
      <c r="B13" s="108">
        <v>1197</v>
      </c>
      <c r="C13" s="122" t="s">
        <v>107</v>
      </c>
      <c r="D13" s="108">
        <v>20200101</v>
      </c>
      <c r="E13" s="122" t="s">
        <v>234</v>
      </c>
      <c r="F13" s="108" t="s">
        <v>114</v>
      </c>
      <c r="G13" s="108">
        <v>0</v>
      </c>
      <c r="H13" s="122" t="s">
        <v>232</v>
      </c>
      <c r="I13" s="108">
        <v>5.742</v>
      </c>
      <c r="J13" s="122" t="s">
        <v>693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22" t="s">
        <v>92</v>
      </c>
      <c r="R13" s="122"/>
      <c r="S13" s="122"/>
      <c r="T13" s="122"/>
      <c r="U13" s="122"/>
      <c r="V13" s="122"/>
      <c r="W13" s="160">
        <f>Z13*I13/2000</f>
        <v>0.0898623</v>
      </c>
      <c r="X13" s="160"/>
      <c r="Y13" s="108">
        <v>3</v>
      </c>
      <c r="Z13" s="108">
        <v>31.3</v>
      </c>
      <c r="AA13" s="122" t="s">
        <v>694</v>
      </c>
      <c r="AB13" s="130" t="s">
        <v>233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</row>
    <row r="14" spans="1:45" s="7" customFormat="1" ht="12.75">
      <c r="A14" s="456" t="s">
        <v>135</v>
      </c>
      <c r="B14" s="108">
        <v>1198</v>
      </c>
      <c r="C14" s="122" t="s">
        <v>88</v>
      </c>
      <c r="D14" s="108">
        <v>20200101</v>
      </c>
      <c r="E14" s="122" t="s">
        <v>235</v>
      </c>
      <c r="F14" s="108" t="s">
        <v>114</v>
      </c>
      <c r="G14" s="108">
        <v>0</v>
      </c>
      <c r="H14" s="122" t="s">
        <v>232</v>
      </c>
      <c r="I14" s="108">
        <v>89.793</v>
      </c>
      <c r="J14" s="122" t="s">
        <v>693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22" t="s">
        <v>92</v>
      </c>
      <c r="R14" s="122"/>
      <c r="S14" s="122"/>
      <c r="T14" s="122"/>
      <c r="U14" s="122"/>
      <c r="V14" s="122"/>
      <c r="W14" s="160">
        <f>Z14*I14/2000</f>
        <v>1.4007708</v>
      </c>
      <c r="X14" s="160"/>
      <c r="Y14" s="108">
        <v>3</v>
      </c>
      <c r="Z14" s="108">
        <v>31.2</v>
      </c>
      <c r="AA14" s="122" t="s">
        <v>694</v>
      </c>
      <c r="AB14" s="130" t="s">
        <v>233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</row>
    <row r="15" spans="1:45" s="7" customFormat="1" ht="12.75">
      <c r="A15" s="456" t="s">
        <v>135</v>
      </c>
      <c r="B15" s="108">
        <v>1199</v>
      </c>
      <c r="C15" s="122" t="s">
        <v>103</v>
      </c>
      <c r="D15" s="108">
        <v>20200101</v>
      </c>
      <c r="E15" s="122" t="s">
        <v>236</v>
      </c>
      <c r="F15" s="108" t="s">
        <v>114</v>
      </c>
      <c r="G15" s="108">
        <v>0</v>
      </c>
      <c r="H15" s="122" t="s">
        <v>232</v>
      </c>
      <c r="I15" s="108">
        <v>110.442</v>
      </c>
      <c r="J15" s="122" t="s">
        <v>693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22" t="s">
        <v>92</v>
      </c>
      <c r="R15" s="122"/>
      <c r="S15" s="122"/>
      <c r="T15" s="122"/>
      <c r="U15" s="122"/>
      <c r="V15" s="122"/>
      <c r="W15" s="160">
        <f>Z15*I15/2000</f>
        <v>1.7228952</v>
      </c>
      <c r="X15" s="160"/>
      <c r="Y15" s="108">
        <v>3</v>
      </c>
      <c r="Z15" s="108">
        <v>31.2</v>
      </c>
      <c r="AA15" s="122" t="s">
        <v>694</v>
      </c>
      <c r="AB15" s="130" t="s">
        <v>233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</row>
    <row r="16" spans="1:45" s="7" customFormat="1" ht="12.75">
      <c r="A16" s="456" t="s">
        <v>88</v>
      </c>
      <c r="B16" s="108" t="s">
        <v>770</v>
      </c>
      <c r="C16" s="122" t="s">
        <v>237</v>
      </c>
      <c r="D16" s="108">
        <v>30501604</v>
      </c>
      <c r="E16" s="122" t="s">
        <v>238</v>
      </c>
      <c r="F16" s="108" t="s">
        <v>115</v>
      </c>
      <c r="G16" s="108">
        <v>71</v>
      </c>
      <c r="H16" s="122" t="s">
        <v>239</v>
      </c>
      <c r="I16" s="108">
        <v>3311</v>
      </c>
      <c r="J16" s="122" t="s">
        <v>679</v>
      </c>
      <c r="K16" s="108">
        <v>600</v>
      </c>
      <c r="L16" s="108" t="s">
        <v>261</v>
      </c>
      <c r="M16" s="108">
        <v>0</v>
      </c>
      <c r="N16" s="108">
        <v>0</v>
      </c>
      <c r="O16" s="108">
        <v>0</v>
      </c>
      <c r="P16" s="108">
        <v>0</v>
      </c>
      <c r="Q16" s="122" t="s">
        <v>92</v>
      </c>
      <c r="R16" s="122"/>
      <c r="S16" s="122"/>
      <c r="T16" s="122"/>
      <c r="U16" s="122"/>
      <c r="V16" s="161"/>
      <c r="W16" s="160">
        <v>0</v>
      </c>
      <c r="X16" s="160"/>
      <c r="Y16" s="108">
        <v>5</v>
      </c>
      <c r="Z16" s="108">
        <v>22.4</v>
      </c>
      <c r="AA16" s="122" t="s">
        <v>695</v>
      </c>
      <c r="AB16" s="130" t="s">
        <v>240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</row>
    <row r="17" spans="1:45" s="7" customFormat="1" ht="12.75">
      <c r="A17" s="456" t="s">
        <v>88</v>
      </c>
      <c r="B17" s="108" t="s">
        <v>771</v>
      </c>
      <c r="C17" s="122" t="s">
        <v>241</v>
      </c>
      <c r="D17" s="108">
        <v>30501604</v>
      </c>
      <c r="E17" s="122" t="s">
        <v>242</v>
      </c>
      <c r="F17" s="108" t="s">
        <v>115</v>
      </c>
      <c r="G17" s="108">
        <v>72</v>
      </c>
      <c r="H17" s="122" t="s">
        <v>239</v>
      </c>
      <c r="I17" s="108">
        <v>2764</v>
      </c>
      <c r="J17" s="122" t="s">
        <v>679</v>
      </c>
      <c r="K17" s="108">
        <v>600</v>
      </c>
      <c r="L17" s="108" t="s">
        <v>261</v>
      </c>
      <c r="M17" s="108">
        <v>0</v>
      </c>
      <c r="N17" s="108">
        <v>0</v>
      </c>
      <c r="O17" s="108">
        <v>0</v>
      </c>
      <c r="P17" s="108">
        <v>0</v>
      </c>
      <c r="Q17" s="122" t="s">
        <v>92</v>
      </c>
      <c r="R17" s="122"/>
      <c r="S17" s="122"/>
      <c r="T17" s="122"/>
      <c r="U17" s="122"/>
      <c r="V17" s="161"/>
      <c r="W17" s="160">
        <v>0</v>
      </c>
      <c r="X17" s="160"/>
      <c r="Y17" s="108">
        <v>5</v>
      </c>
      <c r="Z17" s="108">
        <v>22.4</v>
      </c>
      <c r="AA17" s="122" t="s">
        <v>695</v>
      </c>
      <c r="AB17" s="130" t="s">
        <v>240</v>
      </c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</row>
    <row r="18" spans="1:45" s="7" customFormat="1" ht="12.75">
      <c r="A18" s="456" t="s">
        <v>88</v>
      </c>
      <c r="B18" s="108" t="s">
        <v>772</v>
      </c>
      <c r="C18" s="122" t="s">
        <v>243</v>
      </c>
      <c r="D18" s="108">
        <v>30501604</v>
      </c>
      <c r="E18" s="122" t="s">
        <v>244</v>
      </c>
      <c r="F18" s="108" t="s">
        <v>115</v>
      </c>
      <c r="G18" s="108">
        <v>73</v>
      </c>
      <c r="H18" s="122" t="s">
        <v>239</v>
      </c>
      <c r="I18" s="108">
        <v>6066</v>
      </c>
      <c r="J18" s="122" t="s">
        <v>679</v>
      </c>
      <c r="K18" s="108">
        <v>840</v>
      </c>
      <c r="L18" s="108" t="s">
        <v>261</v>
      </c>
      <c r="M18" s="108">
        <v>0</v>
      </c>
      <c r="N18" s="108">
        <v>0</v>
      </c>
      <c r="O18" s="108">
        <v>0</v>
      </c>
      <c r="P18" s="108">
        <v>0</v>
      </c>
      <c r="Q18" s="122" t="s">
        <v>92</v>
      </c>
      <c r="R18" s="122"/>
      <c r="S18" s="122"/>
      <c r="T18" s="122"/>
      <c r="U18" s="122"/>
      <c r="V18" s="161"/>
      <c r="W18" s="160">
        <v>0</v>
      </c>
      <c r="X18" s="160"/>
      <c r="Y18" s="108">
        <v>5</v>
      </c>
      <c r="Z18" s="108">
        <v>27.2</v>
      </c>
      <c r="AA18" s="122" t="s">
        <v>695</v>
      </c>
      <c r="AB18" s="130" t="s">
        <v>240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</row>
    <row r="19" spans="1:45" s="7" customFormat="1" ht="12.75">
      <c r="A19" s="456" t="s">
        <v>135</v>
      </c>
      <c r="B19" s="108">
        <v>9664</v>
      </c>
      <c r="C19" s="122" t="s">
        <v>245</v>
      </c>
      <c r="D19" s="108">
        <v>20200101</v>
      </c>
      <c r="E19" s="122" t="s">
        <v>246</v>
      </c>
      <c r="F19" s="108" t="s">
        <v>114</v>
      </c>
      <c r="G19" s="108">
        <v>0</v>
      </c>
      <c r="H19" s="122" t="s">
        <v>232</v>
      </c>
      <c r="I19" s="108">
        <v>10.919</v>
      </c>
      <c r="J19" s="64" t="s">
        <v>693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22" t="s">
        <v>92</v>
      </c>
      <c r="R19" s="122"/>
      <c r="S19" s="122"/>
      <c r="T19" s="122"/>
      <c r="U19" s="122"/>
      <c r="V19" s="122"/>
      <c r="W19" s="160">
        <f aca="true" t="shared" si="0" ref="W19:W30">Z19*I19/2000</f>
        <v>0.1703364</v>
      </c>
      <c r="X19" s="160"/>
      <c r="Y19" s="108">
        <v>3</v>
      </c>
      <c r="Z19" s="108">
        <v>31.2</v>
      </c>
      <c r="AA19" s="122" t="s">
        <v>694</v>
      </c>
      <c r="AB19" s="130" t="s">
        <v>233</v>
      </c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</row>
    <row r="20" spans="1:45" s="7" customFormat="1" ht="12.75">
      <c r="A20" s="456" t="s">
        <v>135</v>
      </c>
      <c r="B20" s="108">
        <v>9665</v>
      </c>
      <c r="C20" s="122" t="s">
        <v>247</v>
      </c>
      <c r="D20" s="108">
        <v>20200101</v>
      </c>
      <c r="E20" s="122" t="s">
        <v>248</v>
      </c>
      <c r="F20" s="108" t="s">
        <v>114</v>
      </c>
      <c r="G20" s="108">
        <v>0</v>
      </c>
      <c r="H20" s="122" t="s">
        <v>232</v>
      </c>
      <c r="I20" s="108">
        <v>3.784</v>
      </c>
      <c r="J20" s="64" t="s">
        <v>693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22" t="s">
        <v>92</v>
      </c>
      <c r="R20" s="122"/>
      <c r="S20" s="122"/>
      <c r="T20" s="122"/>
      <c r="U20" s="122"/>
      <c r="V20" s="122"/>
      <c r="W20" s="160">
        <f t="shared" si="0"/>
        <v>0.05903039999999999</v>
      </c>
      <c r="X20" s="160"/>
      <c r="Y20" s="108">
        <v>3</v>
      </c>
      <c r="Z20" s="108">
        <v>31.2</v>
      </c>
      <c r="AA20" s="122" t="s">
        <v>694</v>
      </c>
      <c r="AB20" s="130" t="s">
        <v>233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</row>
    <row r="21" spans="1:45" s="7" customFormat="1" ht="12.75">
      <c r="A21" s="456" t="s">
        <v>135</v>
      </c>
      <c r="B21" s="108">
        <v>9666</v>
      </c>
      <c r="C21" s="122" t="s">
        <v>249</v>
      </c>
      <c r="D21" s="108">
        <v>20200101</v>
      </c>
      <c r="E21" s="122" t="s">
        <v>250</v>
      </c>
      <c r="F21" s="108" t="s">
        <v>114</v>
      </c>
      <c r="G21" s="108">
        <v>0</v>
      </c>
      <c r="H21" s="122" t="s">
        <v>232</v>
      </c>
      <c r="I21" s="108">
        <v>25.659</v>
      </c>
      <c r="J21" s="64" t="s">
        <v>693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22" t="s">
        <v>92</v>
      </c>
      <c r="R21" s="122"/>
      <c r="S21" s="122"/>
      <c r="T21" s="122"/>
      <c r="U21" s="122"/>
      <c r="V21" s="122"/>
      <c r="W21" s="160">
        <f t="shared" si="0"/>
        <v>0.39899745000000003</v>
      </c>
      <c r="X21" s="160"/>
      <c r="Y21" s="108">
        <v>3</v>
      </c>
      <c r="Z21" s="108">
        <v>31.1</v>
      </c>
      <c r="AA21" s="122" t="s">
        <v>694</v>
      </c>
      <c r="AB21" s="130" t="s">
        <v>233</v>
      </c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</row>
    <row r="22" spans="1:45" s="7" customFormat="1" ht="12.75">
      <c r="A22" s="456" t="s">
        <v>88</v>
      </c>
      <c r="B22" s="108">
        <v>11726</v>
      </c>
      <c r="C22" s="122" t="s">
        <v>251</v>
      </c>
      <c r="D22" s="108">
        <v>10301002</v>
      </c>
      <c r="E22" s="122" t="s">
        <v>252</v>
      </c>
      <c r="F22" s="108" t="s">
        <v>114</v>
      </c>
      <c r="G22" s="108">
        <v>71</v>
      </c>
      <c r="H22" s="122" t="s">
        <v>253</v>
      </c>
      <c r="I22" s="108">
        <v>6.86</v>
      </c>
      <c r="J22" s="64" t="s">
        <v>693</v>
      </c>
      <c r="K22" s="108">
        <v>0</v>
      </c>
      <c r="L22" s="108">
        <v>0</v>
      </c>
      <c r="M22" s="108">
        <v>0.075</v>
      </c>
      <c r="N22" s="108" t="s">
        <v>120</v>
      </c>
      <c r="O22" s="108">
        <v>0</v>
      </c>
      <c r="P22" s="108">
        <v>0</v>
      </c>
      <c r="Q22" s="122" t="s">
        <v>92</v>
      </c>
      <c r="R22" s="122"/>
      <c r="S22" s="122"/>
      <c r="T22" s="122"/>
      <c r="U22" s="122"/>
      <c r="V22" s="122"/>
      <c r="W22" s="160">
        <f t="shared" si="0"/>
        <v>0.0010633</v>
      </c>
      <c r="X22" s="160"/>
      <c r="Y22" s="108">
        <v>3</v>
      </c>
      <c r="Z22" s="108">
        <v>0.31</v>
      </c>
      <c r="AA22" s="122" t="s">
        <v>694</v>
      </c>
      <c r="AB22" s="130" t="s">
        <v>254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</row>
    <row r="23" spans="1:45" s="7" customFormat="1" ht="12.75">
      <c r="A23" s="456" t="s">
        <v>88</v>
      </c>
      <c r="B23" s="108">
        <v>11727</v>
      </c>
      <c r="C23" s="122" t="s">
        <v>255</v>
      </c>
      <c r="D23" s="108">
        <v>10301002</v>
      </c>
      <c r="E23" s="122" t="s">
        <v>256</v>
      </c>
      <c r="F23" s="108" t="s">
        <v>114</v>
      </c>
      <c r="G23" s="108">
        <v>72</v>
      </c>
      <c r="H23" s="122" t="s">
        <v>253</v>
      </c>
      <c r="I23" s="108">
        <v>1.675</v>
      </c>
      <c r="J23" s="64" t="s">
        <v>693</v>
      </c>
      <c r="K23" s="108">
        <v>0</v>
      </c>
      <c r="L23" s="108">
        <v>0</v>
      </c>
      <c r="M23" s="108">
        <v>0.075</v>
      </c>
      <c r="N23" s="108" t="s">
        <v>120</v>
      </c>
      <c r="O23" s="108">
        <v>0</v>
      </c>
      <c r="P23" s="108">
        <v>0</v>
      </c>
      <c r="Q23" s="122" t="s">
        <v>92</v>
      </c>
      <c r="R23" s="122"/>
      <c r="S23" s="122"/>
      <c r="T23" s="122"/>
      <c r="U23" s="122"/>
      <c r="V23" s="122"/>
      <c r="W23" s="160">
        <f t="shared" si="0"/>
        <v>0.000259625</v>
      </c>
      <c r="X23" s="160"/>
      <c r="Y23" s="108">
        <v>3</v>
      </c>
      <c r="Z23" s="108">
        <v>0.31</v>
      </c>
      <c r="AA23" s="122" t="s">
        <v>694</v>
      </c>
      <c r="AB23" s="130" t="s">
        <v>254</v>
      </c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</row>
    <row r="24" spans="1:45" s="7" customFormat="1" ht="12.75">
      <c r="A24" s="456" t="s">
        <v>88</v>
      </c>
      <c r="B24" s="108">
        <v>11728</v>
      </c>
      <c r="C24" s="122" t="s">
        <v>257</v>
      </c>
      <c r="D24" s="108">
        <v>10301002</v>
      </c>
      <c r="E24" s="122" t="s">
        <v>258</v>
      </c>
      <c r="F24" s="108" t="s">
        <v>114</v>
      </c>
      <c r="G24" s="108">
        <v>73</v>
      </c>
      <c r="H24" s="122" t="s">
        <v>253</v>
      </c>
      <c r="I24" s="108">
        <v>11.633</v>
      </c>
      <c r="J24" s="64" t="s">
        <v>693</v>
      </c>
      <c r="K24" s="108">
        <v>0</v>
      </c>
      <c r="L24" s="108">
        <v>0</v>
      </c>
      <c r="M24" s="108">
        <v>0.075</v>
      </c>
      <c r="N24" s="108" t="s">
        <v>120</v>
      </c>
      <c r="O24" s="108">
        <v>0</v>
      </c>
      <c r="P24" s="108">
        <v>0</v>
      </c>
      <c r="Q24" s="122" t="s">
        <v>92</v>
      </c>
      <c r="R24" s="122"/>
      <c r="S24" s="122"/>
      <c r="T24" s="122"/>
      <c r="U24" s="122"/>
      <c r="V24" s="122"/>
      <c r="W24" s="160">
        <f t="shared" si="0"/>
        <v>0.0018031149999999999</v>
      </c>
      <c r="X24" s="160"/>
      <c r="Y24" s="108">
        <v>3</v>
      </c>
      <c r="Z24" s="108">
        <v>0.31</v>
      </c>
      <c r="AA24" s="122" t="s">
        <v>694</v>
      </c>
      <c r="AB24" s="130" t="s">
        <v>259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</row>
    <row r="25" spans="1:45" s="7" customFormat="1" ht="12.75">
      <c r="A25" s="456">
        <v>2</v>
      </c>
      <c r="B25" s="108">
        <v>11732</v>
      </c>
      <c r="C25" s="122" t="s">
        <v>745</v>
      </c>
      <c r="D25" s="108">
        <v>30501604</v>
      </c>
      <c r="E25" s="122" t="s">
        <v>252</v>
      </c>
      <c r="F25" s="108" t="s">
        <v>114</v>
      </c>
      <c r="G25" s="108">
        <v>71</v>
      </c>
      <c r="H25" s="122" t="s">
        <v>137</v>
      </c>
      <c r="I25" s="108">
        <v>3311</v>
      </c>
      <c r="J25" s="64" t="s">
        <v>679</v>
      </c>
      <c r="K25" s="108"/>
      <c r="L25" s="108"/>
      <c r="M25" s="108">
        <v>11400</v>
      </c>
      <c r="N25" s="108" t="s">
        <v>48</v>
      </c>
      <c r="O25" s="108">
        <v>0.8</v>
      </c>
      <c r="P25" s="108">
        <v>9</v>
      </c>
      <c r="Q25" s="122" t="s">
        <v>92</v>
      </c>
      <c r="R25" s="122"/>
      <c r="S25" s="122"/>
      <c r="T25" s="122"/>
      <c r="U25" s="122"/>
      <c r="V25" s="463">
        <v>0.001</v>
      </c>
      <c r="W25" s="160">
        <f t="shared" si="0"/>
        <v>37.0832</v>
      </c>
      <c r="X25" s="160"/>
      <c r="Y25" s="108">
        <v>5</v>
      </c>
      <c r="Z25" s="108">
        <v>22.4</v>
      </c>
      <c r="AA25" s="122" t="s">
        <v>695</v>
      </c>
      <c r="AB25" s="130" t="s">
        <v>240</v>
      </c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</row>
    <row r="26" spans="1:45" s="7" customFormat="1" ht="12.75">
      <c r="A26" s="456">
        <v>2</v>
      </c>
      <c r="B26" s="108">
        <v>3905</v>
      </c>
      <c r="C26" s="122" t="s">
        <v>747</v>
      </c>
      <c r="D26" s="108">
        <v>30501604</v>
      </c>
      <c r="E26" s="122" t="s">
        <v>746</v>
      </c>
      <c r="F26" s="108" t="s">
        <v>114</v>
      </c>
      <c r="G26" s="108">
        <v>72</v>
      </c>
      <c r="H26" s="122" t="s">
        <v>137</v>
      </c>
      <c r="I26" s="108">
        <v>2764</v>
      </c>
      <c r="J26" s="64" t="s">
        <v>679</v>
      </c>
      <c r="K26" s="108"/>
      <c r="L26" s="108"/>
      <c r="M26" s="108">
        <v>11400</v>
      </c>
      <c r="N26" s="108" t="s">
        <v>48</v>
      </c>
      <c r="O26" s="108">
        <v>0.8</v>
      </c>
      <c r="P26" s="108">
        <v>9</v>
      </c>
      <c r="Q26" s="122" t="s">
        <v>92</v>
      </c>
      <c r="R26" s="122"/>
      <c r="S26" s="122"/>
      <c r="T26" s="122"/>
      <c r="U26" s="122"/>
      <c r="V26" s="463">
        <v>0.018</v>
      </c>
      <c r="W26" s="160">
        <f t="shared" si="0"/>
        <v>30.956799999999998</v>
      </c>
      <c r="X26" s="160">
        <v>0.43</v>
      </c>
      <c r="Y26" s="108">
        <v>5</v>
      </c>
      <c r="Z26" s="108">
        <v>22.4</v>
      </c>
      <c r="AA26" s="122" t="s">
        <v>695</v>
      </c>
      <c r="AB26" s="130" t="s">
        <v>240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</row>
    <row r="27" spans="1:45" s="7" customFormat="1" ht="12.75">
      <c r="A27" s="456">
        <v>2</v>
      </c>
      <c r="B27" s="108">
        <v>20140</v>
      </c>
      <c r="C27" s="122" t="s">
        <v>748</v>
      </c>
      <c r="D27" s="108">
        <v>30501604</v>
      </c>
      <c r="E27" s="122" t="s">
        <v>749</v>
      </c>
      <c r="F27" s="108" t="s">
        <v>114</v>
      </c>
      <c r="G27" s="108">
        <v>73</v>
      </c>
      <c r="H27" s="122" t="s">
        <v>137</v>
      </c>
      <c r="I27" s="108">
        <v>6255</v>
      </c>
      <c r="J27" s="64" t="s">
        <v>679</v>
      </c>
      <c r="K27" s="108"/>
      <c r="L27" s="108"/>
      <c r="M27" s="108">
        <v>11400</v>
      </c>
      <c r="N27" s="108" t="s">
        <v>48</v>
      </c>
      <c r="O27" s="108">
        <v>0.8</v>
      </c>
      <c r="P27" s="108">
        <v>9</v>
      </c>
      <c r="Q27" s="122" t="s">
        <v>92</v>
      </c>
      <c r="R27" s="122"/>
      <c r="S27" s="122"/>
      <c r="T27" s="122"/>
      <c r="U27" s="122"/>
      <c r="V27" s="122"/>
      <c r="W27" s="160">
        <f t="shared" si="0"/>
        <v>120.096</v>
      </c>
      <c r="X27" s="160"/>
      <c r="Y27" s="108">
        <v>3</v>
      </c>
      <c r="Z27" s="108">
        <v>38.4</v>
      </c>
      <c r="AA27" s="122" t="s">
        <v>695</v>
      </c>
      <c r="AB27" s="130" t="s">
        <v>750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</row>
    <row r="28" spans="1:45" s="7" customFormat="1" ht="12.75">
      <c r="A28" s="456">
        <v>2</v>
      </c>
      <c r="B28" s="108">
        <v>11730</v>
      </c>
      <c r="C28" s="122" t="s">
        <v>751</v>
      </c>
      <c r="D28" s="108">
        <v>30501604</v>
      </c>
      <c r="E28" s="122" t="s">
        <v>258</v>
      </c>
      <c r="F28" s="108" t="s">
        <v>114</v>
      </c>
      <c r="G28" s="108">
        <v>73</v>
      </c>
      <c r="H28" s="122" t="s">
        <v>137</v>
      </c>
      <c r="I28" s="108">
        <v>6066</v>
      </c>
      <c r="J28" s="64" t="s">
        <v>679</v>
      </c>
      <c r="K28" s="108"/>
      <c r="L28" s="108"/>
      <c r="M28" s="108">
        <v>11400</v>
      </c>
      <c r="N28" s="108" t="s">
        <v>48</v>
      </c>
      <c r="O28" s="108">
        <v>0.8</v>
      </c>
      <c r="P28" s="108">
        <v>9</v>
      </c>
      <c r="Q28" s="122" t="s">
        <v>92</v>
      </c>
      <c r="R28" s="122"/>
      <c r="S28" s="122"/>
      <c r="T28" s="122"/>
      <c r="U28" s="122"/>
      <c r="V28" s="463">
        <v>0.023</v>
      </c>
      <c r="W28" s="160">
        <f t="shared" si="0"/>
        <v>82.49759999999999</v>
      </c>
      <c r="X28" s="160">
        <v>1.54</v>
      </c>
      <c r="Y28" s="108">
        <v>5</v>
      </c>
      <c r="Z28" s="108">
        <v>27.2</v>
      </c>
      <c r="AA28" s="122" t="s">
        <v>695</v>
      </c>
      <c r="AB28" s="130" t="s">
        <v>750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</row>
    <row r="29" spans="1:45" s="7" customFormat="1" ht="12.75">
      <c r="A29" s="456">
        <v>2</v>
      </c>
      <c r="B29" s="108">
        <v>20141</v>
      </c>
      <c r="C29" s="122" t="s">
        <v>774</v>
      </c>
      <c r="D29" s="108">
        <v>30501604</v>
      </c>
      <c r="E29" s="122" t="s">
        <v>749</v>
      </c>
      <c r="F29" s="108" t="s">
        <v>114</v>
      </c>
      <c r="G29" s="108">
        <v>73</v>
      </c>
      <c r="H29" s="122" t="s">
        <v>253</v>
      </c>
      <c r="I29" s="108">
        <v>8.798</v>
      </c>
      <c r="J29" s="64" t="s">
        <v>693</v>
      </c>
      <c r="K29" s="108"/>
      <c r="L29" s="108"/>
      <c r="M29" s="108">
        <v>21500</v>
      </c>
      <c r="N29" s="108" t="s">
        <v>123</v>
      </c>
      <c r="O29" s="108"/>
      <c r="P29" s="108"/>
      <c r="Q29" s="122" t="s">
        <v>92</v>
      </c>
      <c r="R29" s="122"/>
      <c r="S29" s="122"/>
      <c r="T29" s="122"/>
      <c r="U29" s="122"/>
      <c r="V29" s="122"/>
      <c r="W29" s="160">
        <f t="shared" si="0"/>
        <v>0.00136369</v>
      </c>
      <c r="X29" s="160"/>
      <c r="Y29" s="108">
        <v>3</v>
      </c>
      <c r="Z29" s="108">
        <v>0.31</v>
      </c>
      <c r="AA29" s="122" t="s">
        <v>694</v>
      </c>
      <c r="AB29" s="130" t="s">
        <v>752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</row>
    <row r="30" spans="1:45" s="7" customFormat="1" ht="13.5" thickBot="1">
      <c r="A30" s="444" t="s">
        <v>764</v>
      </c>
      <c r="B30" s="162">
        <v>5188</v>
      </c>
      <c r="C30" s="459">
        <v>2</v>
      </c>
      <c r="D30" s="162">
        <v>30502009</v>
      </c>
      <c r="E30" s="162" t="s">
        <v>763</v>
      </c>
      <c r="F30" s="461" t="s">
        <v>114</v>
      </c>
      <c r="G30" s="162"/>
      <c r="H30" s="162" t="s">
        <v>765</v>
      </c>
      <c r="I30" s="162">
        <v>230</v>
      </c>
      <c r="J30" s="162" t="s">
        <v>768</v>
      </c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422"/>
      <c r="W30" s="422">
        <f t="shared" si="0"/>
        <v>0.23</v>
      </c>
      <c r="X30" s="457"/>
      <c r="Y30" s="458">
        <v>3</v>
      </c>
      <c r="Z30" s="162">
        <v>2</v>
      </c>
      <c r="AA30" s="459" t="s">
        <v>766</v>
      </c>
      <c r="AB30" s="460" t="s">
        <v>767</v>
      </c>
      <c r="AC30" s="67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</row>
    <row r="31" spans="1:45" s="7" customFormat="1" ht="13.5" thickBot="1">
      <c r="A31" s="61"/>
      <c r="B31" s="61"/>
      <c r="C31" s="74"/>
      <c r="D31" s="61"/>
      <c r="E31" s="61"/>
      <c r="F31" s="75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378" t="s">
        <v>118</v>
      </c>
      <c r="W31" s="464">
        <f>SUM(W11:W30)</f>
        <v>274.78416507000003</v>
      </c>
      <c r="X31" s="158"/>
      <c r="Y31" s="450"/>
      <c r="Z31" s="61"/>
      <c r="AA31" s="74"/>
      <c r="AB31" s="61"/>
      <c r="AC31" s="67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</row>
    <row r="32" spans="1:45" s="7" customFormat="1" ht="13.5" thickTop="1">
      <c r="A32" s="61"/>
      <c r="B32" s="61"/>
      <c r="C32" s="74"/>
      <c r="D32" s="61"/>
      <c r="E32" s="61"/>
      <c r="F32" s="75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158"/>
      <c r="Y32" s="450"/>
      <c r="Z32" s="61"/>
      <c r="AA32" s="74"/>
      <c r="AB32" s="61"/>
      <c r="AC32" s="67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</row>
    <row r="33" spans="1:45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159"/>
      <c r="Z33" s="71"/>
      <c r="AA33" s="74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</row>
    <row r="34" spans="2:45" ht="12.75">
      <c r="B34" s="71"/>
      <c r="C34" s="71" t="s">
        <v>769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462"/>
      <c r="W34" s="448"/>
      <c r="X34" s="71"/>
      <c r="Y34" s="159"/>
      <c r="Z34" s="71"/>
      <c r="AA34" s="74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ht="12.75">
      <c r="A35" s="71"/>
      <c r="B35" s="71"/>
      <c r="C35" s="71" t="s">
        <v>775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4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ht="12.75">
      <c r="A36" s="71"/>
      <c r="B36" s="71"/>
      <c r="C36" s="71" t="s">
        <v>773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4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ht="12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45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</row>
    <row r="42" spans="1:45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</row>
  </sheetData>
  <mergeCells count="24">
    <mergeCell ref="AB8:AB10"/>
    <mergeCell ref="X8:X10"/>
    <mergeCell ref="Y8:Y10"/>
    <mergeCell ref="Z8:Z10"/>
    <mergeCell ref="AA8:AA10"/>
    <mergeCell ref="T8:U8"/>
    <mergeCell ref="V8:V10"/>
    <mergeCell ref="W8:W10"/>
    <mergeCell ref="U9:U10"/>
    <mergeCell ref="T9:T10"/>
    <mergeCell ref="A8:A10"/>
    <mergeCell ref="B8:B10"/>
    <mergeCell ref="C8:C10"/>
    <mergeCell ref="D8:D10"/>
    <mergeCell ref="E8:E10"/>
    <mergeCell ref="F8:F10"/>
    <mergeCell ref="G8:G10"/>
    <mergeCell ref="H8:H10"/>
    <mergeCell ref="I8:L9"/>
    <mergeCell ref="M8:P9"/>
    <mergeCell ref="Q8:Q10"/>
    <mergeCell ref="R8:S8"/>
    <mergeCell ref="R9:R10"/>
    <mergeCell ref="S9:S10"/>
  </mergeCells>
  <printOptions/>
  <pageMargins left="0.39" right="0.39" top="1.7" bottom="1" header="0.5" footer="0.5"/>
  <pageSetup horizontalDpi="600" verticalDpi="600" orientation="landscape" r:id="rId1"/>
  <headerFooter alignWithMargins="0">
    <oddHeader>&amp;L
Graymont Western US Incorporated
(Was Continental Lime Inc.)
Site Name:  Cricket Mountain Plant
Site ID:  10313&amp;C&amp;"Arial,Bold"Regional Haze
&amp;"Arial,Regular"1998 Statewide SOx Sources</oddHeader>
    <oddFooter>&amp;R&amp;D
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M21"/>
  <sheetViews>
    <sheetView workbookViewId="0" topLeftCell="A1">
      <selection activeCell="G33" sqref="G33"/>
    </sheetView>
  </sheetViews>
  <sheetFormatPr defaultColWidth="9.140625" defaultRowHeight="12.75"/>
  <cols>
    <col min="1" max="2" width="8.140625" style="0" customWidth="1"/>
    <col min="3" max="3" width="8.00390625" style="0" customWidth="1"/>
    <col min="4" max="4" width="10.7109375" style="0" customWidth="1"/>
    <col min="5" max="5" width="30.8515625" style="0" customWidth="1"/>
    <col min="6" max="6" width="5.8515625" style="0" customWidth="1"/>
    <col min="7" max="7" width="10.57421875" style="0" customWidth="1"/>
    <col min="8" max="8" width="10.8515625" style="0" customWidth="1"/>
    <col min="9" max="9" width="8.140625" style="0" customWidth="1"/>
    <col min="10" max="10" width="8.28125" style="0" customWidth="1"/>
    <col min="11" max="11" width="7.140625" style="0" customWidth="1"/>
    <col min="13" max="13" width="8.140625" style="0" customWidth="1"/>
    <col min="20" max="20" width="10.421875" style="0" customWidth="1"/>
    <col min="22" max="22" width="9.8515625" style="0" customWidth="1"/>
    <col min="23" max="23" width="10.140625" style="0" customWidth="1"/>
    <col min="24" max="24" width="11.421875" style="0" customWidth="1"/>
    <col min="28" max="28" width="10.421875" style="0" customWidth="1"/>
  </cols>
  <sheetData>
    <row r="1" spans="1:23" ht="15.75">
      <c r="A1" s="12" t="s">
        <v>42</v>
      </c>
      <c r="B1" s="12"/>
      <c r="C1" s="515" t="s">
        <v>981</v>
      </c>
      <c r="E1" s="2" t="s">
        <v>84</v>
      </c>
      <c r="W1" s="42"/>
    </row>
    <row r="2" spans="1:23" ht="15">
      <c r="A2" s="12"/>
      <c r="B2" s="12"/>
      <c r="E2" s="3" t="s">
        <v>850</v>
      </c>
      <c r="W2" s="42"/>
    </row>
    <row r="3" spans="1:23" ht="12.75">
      <c r="A3" s="12" t="s">
        <v>53</v>
      </c>
      <c r="B3" s="12" t="s">
        <v>54</v>
      </c>
      <c r="C3" s="515" t="s">
        <v>982</v>
      </c>
      <c r="W3" s="42"/>
    </row>
    <row r="4" spans="1:23" ht="12.75">
      <c r="A4" s="514">
        <v>10129</v>
      </c>
      <c r="B4" s="12"/>
      <c r="W4" s="42"/>
    </row>
    <row r="5" ht="13.5" thickBot="1">
      <c r="W5" s="42"/>
    </row>
    <row r="6" spans="1:65" ht="16.5" customHeight="1">
      <c r="A6" s="576" t="s">
        <v>83</v>
      </c>
      <c r="B6" s="54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6"/>
      <c r="M6" s="572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40" t="s">
        <v>305</v>
      </c>
      <c r="X6" s="541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</row>
    <row r="7" spans="1:65" s="1" customFormat="1" ht="24.7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601"/>
      <c r="R7" s="557" t="s">
        <v>81</v>
      </c>
      <c r="S7" s="557" t="s">
        <v>73</v>
      </c>
      <c r="T7" s="557" t="s">
        <v>705</v>
      </c>
      <c r="U7" s="557" t="s">
        <v>73</v>
      </c>
      <c r="V7" s="557"/>
      <c r="W7" s="641"/>
      <c r="X7" s="557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ht="25.5" customHeight="1">
      <c r="A8" s="600"/>
      <c r="B8" s="598"/>
      <c r="C8" s="598"/>
      <c r="D8" s="598"/>
      <c r="E8" s="598"/>
      <c r="F8" s="598"/>
      <c r="G8" s="598"/>
      <c r="H8" s="598"/>
      <c r="I8" s="63" t="s">
        <v>57</v>
      </c>
      <c r="J8" s="63" t="s">
        <v>58</v>
      </c>
      <c r="K8" s="63" t="s">
        <v>56</v>
      </c>
      <c r="L8" s="63" t="s">
        <v>59</v>
      </c>
      <c r="M8" s="63" t="s">
        <v>60</v>
      </c>
      <c r="N8" s="63" t="s">
        <v>59</v>
      </c>
      <c r="O8" s="63" t="s">
        <v>61</v>
      </c>
      <c r="P8" s="63" t="s">
        <v>62</v>
      </c>
      <c r="Q8" s="601"/>
      <c r="R8" s="557"/>
      <c r="S8" s="557"/>
      <c r="T8" s="601"/>
      <c r="U8" s="557"/>
      <c r="V8" s="557"/>
      <c r="W8" s="641"/>
      <c r="X8" s="557"/>
      <c r="Y8" s="557"/>
      <c r="Z8" s="557"/>
      <c r="AA8" s="601"/>
      <c r="AB8" s="60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1:28" ht="12.75">
      <c r="A9" s="523" t="s">
        <v>135</v>
      </c>
      <c r="B9" s="521">
        <v>1017</v>
      </c>
      <c r="C9" s="520" t="s">
        <v>88</v>
      </c>
      <c r="D9" s="521">
        <v>27000102</v>
      </c>
      <c r="E9" s="520" t="s">
        <v>235</v>
      </c>
      <c r="F9" s="521" t="s">
        <v>114</v>
      </c>
      <c r="G9" s="521">
        <v>0</v>
      </c>
      <c r="H9" s="521" t="s">
        <v>159</v>
      </c>
      <c r="I9" s="521">
        <v>2705</v>
      </c>
      <c r="J9" s="521" t="s">
        <v>986</v>
      </c>
      <c r="K9" s="72"/>
      <c r="L9" s="521">
        <v>0</v>
      </c>
      <c r="M9" s="521">
        <v>0</v>
      </c>
      <c r="N9" s="521">
        <v>0</v>
      </c>
      <c r="O9" s="521">
        <v>0</v>
      </c>
      <c r="P9" s="521">
        <v>0</v>
      </c>
      <c r="Q9" s="520" t="s">
        <v>92</v>
      </c>
      <c r="R9" s="72"/>
      <c r="S9" s="72"/>
      <c r="T9" s="72"/>
      <c r="U9" s="72"/>
      <c r="V9" s="72"/>
      <c r="W9" s="433">
        <f>Z9*I9/2000</f>
        <v>0.24345</v>
      </c>
      <c r="X9" s="72">
        <v>0</v>
      </c>
      <c r="Y9" s="72">
        <v>5</v>
      </c>
      <c r="Z9" s="72">
        <v>0.18</v>
      </c>
      <c r="AA9" s="72" t="s">
        <v>673</v>
      </c>
      <c r="AB9" s="85"/>
    </row>
    <row r="10" spans="1:28" ht="12.75">
      <c r="A10" s="523" t="s">
        <v>135</v>
      </c>
      <c r="B10" s="521">
        <v>1018</v>
      </c>
      <c r="C10" s="520" t="s">
        <v>103</v>
      </c>
      <c r="D10" s="521">
        <v>27000102</v>
      </c>
      <c r="E10" s="520" t="s">
        <v>387</v>
      </c>
      <c r="F10" s="521" t="s">
        <v>114</v>
      </c>
      <c r="G10" s="521">
        <v>0</v>
      </c>
      <c r="H10" s="521" t="s">
        <v>159</v>
      </c>
      <c r="I10" s="521">
        <v>47</v>
      </c>
      <c r="J10" s="521" t="s">
        <v>986</v>
      </c>
      <c r="K10" s="72"/>
      <c r="L10" s="521">
        <v>0</v>
      </c>
      <c r="M10" s="521">
        <v>0</v>
      </c>
      <c r="N10" s="521">
        <v>0</v>
      </c>
      <c r="O10" s="521">
        <v>0</v>
      </c>
      <c r="P10" s="521">
        <v>0</v>
      </c>
      <c r="Q10" s="520" t="s">
        <v>92</v>
      </c>
      <c r="R10" s="72"/>
      <c r="S10" s="72"/>
      <c r="T10" s="72"/>
      <c r="U10" s="72"/>
      <c r="V10" s="72"/>
      <c r="W10" s="433">
        <f>Z10*I10/2000</f>
        <v>0.010575000000000001</v>
      </c>
      <c r="X10" s="72">
        <v>0</v>
      </c>
      <c r="Y10" s="72">
        <v>5</v>
      </c>
      <c r="Z10" s="72">
        <v>0.45</v>
      </c>
      <c r="AA10" s="72" t="s">
        <v>673</v>
      </c>
      <c r="AB10" s="85"/>
    </row>
    <row r="11" spans="1:28" ht="12.75">
      <c r="A11" s="523" t="s">
        <v>135</v>
      </c>
      <c r="B11" s="521">
        <v>1201</v>
      </c>
      <c r="C11" s="520" t="s">
        <v>620</v>
      </c>
      <c r="D11" s="521">
        <v>27000102</v>
      </c>
      <c r="E11" s="520" t="s">
        <v>983</v>
      </c>
      <c r="F11" s="521" t="s">
        <v>114</v>
      </c>
      <c r="G11" s="521">
        <v>0</v>
      </c>
      <c r="H11" s="521" t="s">
        <v>159</v>
      </c>
      <c r="I11" s="521">
        <v>104</v>
      </c>
      <c r="J11" s="521" t="s">
        <v>986</v>
      </c>
      <c r="K11" s="72"/>
      <c r="L11" s="521">
        <v>0</v>
      </c>
      <c r="M11" s="521">
        <v>0</v>
      </c>
      <c r="N11" s="521">
        <v>0</v>
      </c>
      <c r="O11" s="521">
        <v>0</v>
      </c>
      <c r="P11" s="521">
        <v>0</v>
      </c>
      <c r="Q11" s="520" t="s">
        <v>92</v>
      </c>
      <c r="R11" s="72"/>
      <c r="S11" s="72"/>
      <c r="T11" s="72"/>
      <c r="U11" s="72"/>
      <c r="V11" s="72"/>
      <c r="W11" s="433">
        <f>Z11*I11/2000</f>
        <v>0.0182</v>
      </c>
      <c r="X11" s="72">
        <v>0</v>
      </c>
      <c r="Y11" s="72">
        <v>5</v>
      </c>
      <c r="Z11" s="72">
        <v>0.35</v>
      </c>
      <c r="AA11" s="72" t="s">
        <v>673</v>
      </c>
      <c r="AB11" s="85"/>
    </row>
    <row r="12" spans="1:28" ht="12.75">
      <c r="A12" s="523" t="s">
        <v>88</v>
      </c>
      <c r="B12" s="521">
        <v>3301</v>
      </c>
      <c r="C12" s="520" t="s">
        <v>580</v>
      </c>
      <c r="D12" s="521">
        <v>50100104</v>
      </c>
      <c r="E12" s="520" t="s">
        <v>984</v>
      </c>
      <c r="F12" s="521" t="s">
        <v>114</v>
      </c>
      <c r="G12" s="521">
        <v>24</v>
      </c>
      <c r="H12" s="521" t="s">
        <v>995</v>
      </c>
      <c r="I12" s="521">
        <v>61410</v>
      </c>
      <c r="J12" s="521" t="s">
        <v>23</v>
      </c>
      <c r="K12" s="72">
        <v>210</v>
      </c>
      <c r="L12" s="521" t="s">
        <v>261</v>
      </c>
      <c r="M12" s="521">
        <v>4500</v>
      </c>
      <c r="N12" s="521" t="s">
        <v>495</v>
      </c>
      <c r="O12" s="521">
        <v>0.13</v>
      </c>
      <c r="P12" s="521">
        <v>20</v>
      </c>
      <c r="Q12" s="520" t="s">
        <v>92</v>
      </c>
      <c r="R12" s="72" t="s">
        <v>996</v>
      </c>
      <c r="S12" s="72">
        <v>41</v>
      </c>
      <c r="T12" s="72" t="s">
        <v>446</v>
      </c>
      <c r="U12" s="72">
        <v>10</v>
      </c>
      <c r="V12" s="522">
        <v>0.59</v>
      </c>
      <c r="W12" s="433">
        <v>52</v>
      </c>
      <c r="X12" s="72">
        <v>0</v>
      </c>
      <c r="Y12" s="72">
        <v>1</v>
      </c>
      <c r="Z12" s="72"/>
      <c r="AA12" s="72"/>
      <c r="AB12" s="85" t="s">
        <v>222</v>
      </c>
    </row>
    <row r="13" spans="1:28" ht="12.75">
      <c r="A13" s="523" t="s">
        <v>88</v>
      </c>
      <c r="B13" s="521">
        <v>3725</v>
      </c>
      <c r="C13" s="520" t="s">
        <v>88</v>
      </c>
      <c r="D13" s="521">
        <v>50100104</v>
      </c>
      <c r="E13" s="520" t="s">
        <v>984</v>
      </c>
      <c r="F13" s="521" t="s">
        <v>115</v>
      </c>
      <c r="G13" s="521">
        <v>25</v>
      </c>
      <c r="H13" s="521" t="s">
        <v>995</v>
      </c>
      <c r="I13" s="521">
        <v>59602</v>
      </c>
      <c r="J13" s="521" t="s">
        <v>23</v>
      </c>
      <c r="K13" s="72">
        <v>210</v>
      </c>
      <c r="L13" s="521" t="s">
        <v>261</v>
      </c>
      <c r="M13" s="521">
        <v>4500</v>
      </c>
      <c r="N13" s="521" t="s">
        <v>495</v>
      </c>
      <c r="O13" s="521">
        <v>0.13</v>
      </c>
      <c r="P13" s="521">
        <v>20</v>
      </c>
      <c r="Q13" s="520" t="s">
        <v>92</v>
      </c>
      <c r="R13" s="72" t="s">
        <v>996</v>
      </c>
      <c r="S13" s="72">
        <v>41</v>
      </c>
      <c r="T13" s="72" t="s">
        <v>446</v>
      </c>
      <c r="U13" s="72">
        <v>10</v>
      </c>
      <c r="V13" s="522">
        <v>0.59</v>
      </c>
      <c r="W13" s="433">
        <v>54</v>
      </c>
      <c r="X13" s="72">
        <v>0</v>
      </c>
      <c r="Y13" s="72">
        <v>1</v>
      </c>
      <c r="Z13" s="72"/>
      <c r="AA13" s="72"/>
      <c r="AB13" s="85" t="s">
        <v>222</v>
      </c>
    </row>
    <row r="14" spans="1:28" ht="13.5" thickBot="1">
      <c r="A14" s="524" t="s">
        <v>202</v>
      </c>
      <c r="B14" s="525">
        <v>11776</v>
      </c>
      <c r="C14" s="526">
        <v>17</v>
      </c>
      <c r="D14" s="525">
        <v>20200401</v>
      </c>
      <c r="E14" s="526" t="s">
        <v>985</v>
      </c>
      <c r="F14" s="525" t="s">
        <v>114</v>
      </c>
      <c r="G14" s="525">
        <v>3293</v>
      </c>
      <c r="H14" s="525" t="s">
        <v>159</v>
      </c>
      <c r="I14" s="525">
        <v>39</v>
      </c>
      <c r="J14" s="525" t="s">
        <v>986</v>
      </c>
      <c r="K14" s="207">
        <v>231</v>
      </c>
      <c r="L14" s="525" t="s">
        <v>613</v>
      </c>
      <c r="M14" s="525">
        <v>0</v>
      </c>
      <c r="N14" s="525">
        <v>0</v>
      </c>
      <c r="O14" s="525">
        <v>0</v>
      </c>
      <c r="P14" s="525">
        <v>0</v>
      </c>
      <c r="Q14" s="526" t="s">
        <v>92</v>
      </c>
      <c r="R14" s="207"/>
      <c r="S14" s="207"/>
      <c r="T14" s="207"/>
      <c r="U14" s="207"/>
      <c r="V14" s="207"/>
      <c r="W14" s="527">
        <f>Z14*I14/2000</f>
        <v>0.0027300000000000002</v>
      </c>
      <c r="X14" s="207">
        <v>0</v>
      </c>
      <c r="Y14" s="207">
        <v>5</v>
      </c>
      <c r="Z14" s="207">
        <v>0.14</v>
      </c>
      <c r="AA14" s="207" t="s">
        <v>673</v>
      </c>
      <c r="AB14" s="223"/>
    </row>
    <row r="15" spans="22:23" ht="13.5" thickBot="1">
      <c r="V15" s="376" t="s">
        <v>118</v>
      </c>
      <c r="W15" s="380">
        <f>SUM(W9:W14)</f>
        <v>106.27495499999999</v>
      </c>
    </row>
    <row r="16" ht="13.5" thickTop="1">
      <c r="C16" t="s">
        <v>997</v>
      </c>
    </row>
    <row r="18" ht="12.75">
      <c r="C18" t="s">
        <v>998</v>
      </c>
    </row>
    <row r="19" ht="12.75">
      <c r="D19" t="s">
        <v>999</v>
      </c>
    </row>
    <row r="20" ht="12.75">
      <c r="C20" t="s">
        <v>1000</v>
      </c>
    </row>
    <row r="21" ht="12.75">
      <c r="D21" t="s">
        <v>1001</v>
      </c>
    </row>
  </sheetData>
  <mergeCells count="24"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  <mergeCell ref="T6:U6"/>
    <mergeCell ref="V6:V8"/>
    <mergeCell ref="W6:W8"/>
    <mergeCell ref="X6:X8"/>
    <mergeCell ref="T7:T8"/>
    <mergeCell ref="U7:U8"/>
    <mergeCell ref="Y6:Y8"/>
    <mergeCell ref="Z6:Z8"/>
    <mergeCell ref="AA6:AA8"/>
    <mergeCell ref="AB6:AB8"/>
  </mergeCells>
  <printOptions horizontalCentered="1"/>
  <pageMargins left="0.37" right="0.75" top="1.41" bottom="1" header="0.5" footer="0.5"/>
  <pageSetup horizontalDpi="600" verticalDpi="600" orientation="landscape" r:id="rId1"/>
  <headerFooter alignWithMargins="0">
    <oddHeader>&amp;L
Davis County Solid Waste (Now Wasatch Energy Systems)
Site:  Energy Recovery Facility
Site ID:  10129&amp;CRegional Haze
1998 Statewide SOx Sources</oddHeader>
    <oddFooter>&amp;R&amp;D
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N1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9.57421875" style="0" customWidth="1"/>
    <col min="4" max="4" width="13.8515625" style="0" customWidth="1"/>
    <col min="5" max="5" width="32.7109375" style="0" customWidth="1"/>
    <col min="7" max="7" width="11.140625" style="0" customWidth="1"/>
    <col min="8" max="8" width="12.421875" style="0" customWidth="1"/>
    <col min="9" max="10" width="8.28125" style="0" customWidth="1"/>
    <col min="11" max="11" width="7.421875" style="0" customWidth="1"/>
    <col min="18" max="18" width="17.00390625" style="0" customWidth="1"/>
    <col min="20" max="20" width="19.8515625" style="0" customWidth="1"/>
    <col min="22" max="22" width="10.57421875" style="0" customWidth="1"/>
    <col min="23" max="25" width="11.7109375" style="0" customWidth="1"/>
    <col min="28" max="28" width="56.8515625" style="0" customWidth="1"/>
    <col min="29" max="29" width="29.140625" style="0" customWidth="1"/>
  </cols>
  <sheetData>
    <row r="1" spans="2:5" ht="15.75">
      <c r="B1" s="12"/>
      <c r="E1" s="2" t="s">
        <v>84</v>
      </c>
    </row>
    <row r="2" spans="1:5" ht="15">
      <c r="A2" s="12"/>
      <c r="B2" s="12"/>
      <c r="E2" s="3" t="s">
        <v>737</v>
      </c>
    </row>
    <row r="3" spans="1:5" ht="15">
      <c r="A3" s="12"/>
      <c r="B3" s="12"/>
      <c r="E3" s="3"/>
    </row>
    <row r="4" spans="1:5" ht="15">
      <c r="A4" s="35" t="s">
        <v>262</v>
      </c>
      <c r="B4" s="12"/>
      <c r="E4" s="3"/>
    </row>
    <row r="5" spans="1:3" ht="12.75">
      <c r="A5" s="12" t="s">
        <v>53</v>
      </c>
      <c r="B5" s="12" t="s">
        <v>54</v>
      </c>
      <c r="C5" s="35" t="s">
        <v>263</v>
      </c>
    </row>
    <row r="6" spans="1:2" ht="12.75">
      <c r="A6" s="34">
        <v>10122</v>
      </c>
      <c r="B6" s="12"/>
    </row>
    <row r="8" spans="1:55" ht="13.5" thickBo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</row>
    <row r="9" spans="1:66" ht="16.5" customHeight="1">
      <c r="A9" s="558" t="s">
        <v>83</v>
      </c>
      <c r="B9" s="561" t="s">
        <v>69</v>
      </c>
      <c r="C9" s="541" t="s">
        <v>68</v>
      </c>
      <c r="D9" s="541" t="s">
        <v>67</v>
      </c>
      <c r="E9" s="541" t="s">
        <v>66</v>
      </c>
      <c r="F9" s="541" t="s">
        <v>63</v>
      </c>
      <c r="G9" s="541" t="s">
        <v>64</v>
      </c>
      <c r="H9" s="541" t="s">
        <v>65</v>
      </c>
      <c r="I9" s="572" t="s">
        <v>439</v>
      </c>
      <c r="J9" s="596"/>
      <c r="K9" s="596"/>
      <c r="L9" s="597"/>
      <c r="M9" s="608" t="s">
        <v>55</v>
      </c>
      <c r="N9" s="596"/>
      <c r="O9" s="596"/>
      <c r="P9" s="596"/>
      <c r="Q9" s="541" t="s">
        <v>72</v>
      </c>
      <c r="R9" s="572" t="s">
        <v>70</v>
      </c>
      <c r="S9" s="572"/>
      <c r="T9" s="572" t="s">
        <v>71</v>
      </c>
      <c r="U9" s="572"/>
      <c r="V9" s="541" t="s">
        <v>80</v>
      </c>
      <c r="W9" s="614" t="s">
        <v>305</v>
      </c>
      <c r="X9" s="541" t="s">
        <v>74</v>
      </c>
      <c r="Y9" s="541" t="s">
        <v>76</v>
      </c>
      <c r="Z9" s="541" t="s">
        <v>77</v>
      </c>
      <c r="AA9" s="541" t="s">
        <v>78</v>
      </c>
      <c r="AB9" s="603" t="s">
        <v>79</v>
      </c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</row>
    <row r="10" spans="1:66" s="1" customFormat="1" ht="24.75" customHeight="1">
      <c r="A10" s="602"/>
      <c r="B10" s="600"/>
      <c r="C10" s="598"/>
      <c r="D10" s="598"/>
      <c r="E10" s="598"/>
      <c r="F10" s="598"/>
      <c r="G10" s="598"/>
      <c r="H10" s="598"/>
      <c r="I10" s="598"/>
      <c r="J10" s="598"/>
      <c r="K10" s="598"/>
      <c r="L10" s="599"/>
      <c r="M10" s="609"/>
      <c r="N10" s="598"/>
      <c r="O10" s="598"/>
      <c r="P10" s="598"/>
      <c r="Q10" s="601"/>
      <c r="R10" s="557" t="s">
        <v>81</v>
      </c>
      <c r="S10" s="557" t="s">
        <v>73</v>
      </c>
      <c r="T10" s="557" t="s">
        <v>82</v>
      </c>
      <c r="U10" s="557" t="s">
        <v>73</v>
      </c>
      <c r="V10" s="557"/>
      <c r="W10" s="615"/>
      <c r="X10" s="557"/>
      <c r="Y10" s="557"/>
      <c r="Z10" s="557"/>
      <c r="AA10" s="601"/>
      <c r="AB10" s="604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</row>
    <row r="11" spans="1:66" ht="25.5" customHeight="1">
      <c r="A11" s="602"/>
      <c r="B11" s="600"/>
      <c r="C11" s="598"/>
      <c r="D11" s="598"/>
      <c r="E11" s="598"/>
      <c r="F11" s="598"/>
      <c r="G11" s="598"/>
      <c r="H11" s="598"/>
      <c r="I11" s="63" t="s">
        <v>57</v>
      </c>
      <c r="J11" s="63" t="s">
        <v>58</v>
      </c>
      <c r="K11" s="63" t="s">
        <v>56</v>
      </c>
      <c r="L11" s="127" t="s">
        <v>59</v>
      </c>
      <c r="M11" s="69" t="s">
        <v>60</v>
      </c>
      <c r="N11" s="63" t="s">
        <v>59</v>
      </c>
      <c r="O11" s="63" t="s">
        <v>61</v>
      </c>
      <c r="P11" s="63" t="s">
        <v>62</v>
      </c>
      <c r="Q11" s="601"/>
      <c r="R11" s="557"/>
      <c r="S11" s="557"/>
      <c r="T11" s="601"/>
      <c r="U11" s="557"/>
      <c r="V11" s="557"/>
      <c r="W11" s="615"/>
      <c r="X11" s="557"/>
      <c r="Y11" s="557"/>
      <c r="Z11" s="557"/>
      <c r="AA11" s="601"/>
      <c r="AB11" s="604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</row>
    <row r="12" spans="1:55" s="7" customFormat="1" ht="12.75">
      <c r="A12" s="166" t="s">
        <v>88</v>
      </c>
      <c r="B12" s="167">
        <v>1288</v>
      </c>
      <c r="C12" s="166" t="s">
        <v>264</v>
      </c>
      <c r="D12" s="167">
        <v>30600106</v>
      </c>
      <c r="E12" s="166" t="s">
        <v>265</v>
      </c>
      <c r="F12" s="167" t="s">
        <v>114</v>
      </c>
      <c r="G12" s="167">
        <v>53</v>
      </c>
      <c r="H12" s="166" t="s">
        <v>266</v>
      </c>
      <c r="I12" s="167">
        <v>226</v>
      </c>
      <c r="J12" s="166" t="s">
        <v>124</v>
      </c>
      <c r="K12" s="167">
        <v>30</v>
      </c>
      <c r="L12" s="167" t="s">
        <v>591</v>
      </c>
      <c r="M12" s="167">
        <v>1050</v>
      </c>
      <c r="N12" s="167" t="s">
        <v>690</v>
      </c>
      <c r="O12" s="167" t="s">
        <v>91</v>
      </c>
      <c r="P12" s="167" t="s">
        <v>91</v>
      </c>
      <c r="Q12" s="166" t="s">
        <v>92</v>
      </c>
      <c r="R12" s="166"/>
      <c r="S12" s="166"/>
      <c r="T12" s="166"/>
      <c r="U12" s="166"/>
      <c r="V12" s="166"/>
      <c r="W12" s="168">
        <f aca="true" t="shared" si="0" ref="W12:W24">Z12*I12/2000</f>
        <v>1.3074100000000002</v>
      </c>
      <c r="X12" s="167" t="s">
        <v>91</v>
      </c>
      <c r="Y12" s="167" t="s">
        <v>778</v>
      </c>
      <c r="Z12" s="167">
        <v>11.57</v>
      </c>
      <c r="AA12" s="166" t="s">
        <v>125</v>
      </c>
      <c r="AB12" s="166" t="s">
        <v>777</v>
      </c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</row>
    <row r="13" spans="1:55" s="7" customFormat="1" ht="12.75">
      <c r="A13" s="166" t="s">
        <v>88</v>
      </c>
      <c r="B13" s="167">
        <v>1289</v>
      </c>
      <c r="C13" s="166" t="s">
        <v>267</v>
      </c>
      <c r="D13" s="167">
        <v>30600106</v>
      </c>
      <c r="E13" s="166" t="s">
        <v>268</v>
      </c>
      <c r="F13" s="167" t="s">
        <v>114</v>
      </c>
      <c r="G13" s="167">
        <v>55</v>
      </c>
      <c r="H13" s="166" t="s">
        <v>266</v>
      </c>
      <c r="I13" s="167">
        <v>211</v>
      </c>
      <c r="J13" s="166" t="s">
        <v>124</v>
      </c>
      <c r="K13" s="167">
        <v>27.9</v>
      </c>
      <c r="L13" s="167" t="s">
        <v>591</v>
      </c>
      <c r="M13" s="167">
        <v>1050</v>
      </c>
      <c r="N13" s="167" t="s">
        <v>690</v>
      </c>
      <c r="O13" s="167" t="s">
        <v>91</v>
      </c>
      <c r="P13" s="167" t="s">
        <v>91</v>
      </c>
      <c r="Q13" s="166" t="s">
        <v>92</v>
      </c>
      <c r="R13" s="166"/>
      <c r="S13" s="166"/>
      <c r="T13" s="166"/>
      <c r="U13" s="166"/>
      <c r="V13" s="166"/>
      <c r="W13" s="168">
        <f t="shared" si="0"/>
        <v>1.220635</v>
      </c>
      <c r="X13" s="167"/>
      <c r="Y13" s="167" t="s">
        <v>778</v>
      </c>
      <c r="Z13" s="167">
        <v>11.57</v>
      </c>
      <c r="AA13" s="166" t="s">
        <v>125</v>
      </c>
      <c r="AB13" s="166" t="s">
        <v>777</v>
      </c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</row>
    <row r="14" spans="1:55" s="7" customFormat="1" ht="12.75">
      <c r="A14" s="166" t="s">
        <v>88</v>
      </c>
      <c r="B14" s="167">
        <v>1290</v>
      </c>
      <c r="C14" s="166" t="s">
        <v>269</v>
      </c>
      <c r="D14" s="167">
        <v>30600106</v>
      </c>
      <c r="E14" s="166" t="s">
        <v>270</v>
      </c>
      <c r="F14" s="167" t="s">
        <v>114</v>
      </c>
      <c r="G14" s="167">
        <v>54</v>
      </c>
      <c r="H14" s="166" t="s">
        <v>266</v>
      </c>
      <c r="I14" s="167">
        <v>122</v>
      </c>
      <c r="J14" s="166" t="s">
        <v>124</v>
      </c>
      <c r="K14" s="167">
        <v>16.2</v>
      </c>
      <c r="L14" s="167" t="s">
        <v>591</v>
      </c>
      <c r="M14" s="167">
        <v>1050</v>
      </c>
      <c r="N14" s="167" t="s">
        <v>690</v>
      </c>
      <c r="O14" s="167" t="s">
        <v>91</v>
      </c>
      <c r="P14" s="167" t="s">
        <v>91</v>
      </c>
      <c r="Q14" s="166" t="s">
        <v>92</v>
      </c>
      <c r="R14" s="166"/>
      <c r="S14" s="166"/>
      <c r="T14" s="166"/>
      <c r="U14" s="166"/>
      <c r="V14" s="166"/>
      <c r="W14" s="168">
        <f t="shared" si="0"/>
        <v>0.70577</v>
      </c>
      <c r="X14" s="167"/>
      <c r="Y14" s="167" t="s">
        <v>778</v>
      </c>
      <c r="Z14" s="167">
        <v>11.57</v>
      </c>
      <c r="AA14" s="166" t="s">
        <v>125</v>
      </c>
      <c r="AB14" s="166" t="s">
        <v>777</v>
      </c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</row>
    <row r="15" spans="1:55" s="7" customFormat="1" ht="12.75">
      <c r="A15" s="166" t="s">
        <v>88</v>
      </c>
      <c r="B15" s="167">
        <v>1291</v>
      </c>
      <c r="C15" s="166" t="s">
        <v>271</v>
      </c>
      <c r="D15" s="167">
        <v>30600106</v>
      </c>
      <c r="E15" s="166" t="s">
        <v>272</v>
      </c>
      <c r="F15" s="167" t="s">
        <v>114</v>
      </c>
      <c r="G15" s="167">
        <v>56</v>
      </c>
      <c r="H15" s="166" t="s">
        <v>266</v>
      </c>
      <c r="I15" s="167">
        <v>102</v>
      </c>
      <c r="J15" s="166" t="s">
        <v>124</v>
      </c>
      <c r="K15" s="167">
        <v>13.8</v>
      </c>
      <c r="L15" s="167" t="s">
        <v>591</v>
      </c>
      <c r="M15" s="167">
        <v>1050</v>
      </c>
      <c r="N15" s="167" t="s">
        <v>690</v>
      </c>
      <c r="O15" s="167" t="s">
        <v>91</v>
      </c>
      <c r="P15" s="167" t="s">
        <v>91</v>
      </c>
      <c r="Q15" s="166" t="s">
        <v>92</v>
      </c>
      <c r="R15" s="166"/>
      <c r="S15" s="166"/>
      <c r="T15" s="166"/>
      <c r="U15" s="166"/>
      <c r="V15" s="166"/>
      <c r="W15" s="168">
        <f t="shared" si="0"/>
        <v>0.5900700000000001</v>
      </c>
      <c r="X15" s="167"/>
      <c r="Y15" s="167" t="s">
        <v>780</v>
      </c>
      <c r="Z15" s="167">
        <v>11.57</v>
      </c>
      <c r="AA15" s="166" t="s">
        <v>125</v>
      </c>
      <c r="AB15" s="166" t="s">
        <v>777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</row>
    <row r="16" spans="1:55" s="7" customFormat="1" ht="12.75">
      <c r="A16" s="166" t="s">
        <v>88</v>
      </c>
      <c r="B16" s="167">
        <v>1292</v>
      </c>
      <c r="C16" s="166" t="s">
        <v>273</v>
      </c>
      <c r="D16" s="167">
        <v>30600106</v>
      </c>
      <c r="E16" s="166" t="s">
        <v>274</v>
      </c>
      <c r="F16" s="167" t="s">
        <v>114</v>
      </c>
      <c r="G16" s="167">
        <v>57</v>
      </c>
      <c r="H16" s="166" t="s">
        <v>266</v>
      </c>
      <c r="I16" s="167">
        <v>52</v>
      </c>
      <c r="J16" s="166" t="s">
        <v>124</v>
      </c>
      <c r="K16" s="167">
        <v>7</v>
      </c>
      <c r="L16" s="167" t="s">
        <v>591</v>
      </c>
      <c r="M16" s="167">
        <v>1050</v>
      </c>
      <c r="N16" s="167" t="s">
        <v>690</v>
      </c>
      <c r="O16" s="167" t="s">
        <v>91</v>
      </c>
      <c r="P16" s="167" t="s">
        <v>91</v>
      </c>
      <c r="Q16" s="166" t="s">
        <v>92</v>
      </c>
      <c r="R16" s="166"/>
      <c r="S16" s="166"/>
      <c r="T16" s="166"/>
      <c r="U16" s="166"/>
      <c r="V16" s="166"/>
      <c r="W16" s="168">
        <f t="shared" si="0"/>
        <v>0.30082</v>
      </c>
      <c r="X16" s="167"/>
      <c r="Y16" s="167" t="s">
        <v>780</v>
      </c>
      <c r="Z16" s="167">
        <v>11.57</v>
      </c>
      <c r="AA16" s="166" t="s">
        <v>125</v>
      </c>
      <c r="AB16" s="166" t="s">
        <v>777</v>
      </c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</row>
    <row r="17" spans="1:55" s="7" customFormat="1" ht="12.75">
      <c r="A17" s="166" t="s">
        <v>88</v>
      </c>
      <c r="B17" s="167">
        <v>1293</v>
      </c>
      <c r="C17" s="166" t="s">
        <v>275</v>
      </c>
      <c r="D17" s="167">
        <v>30600106</v>
      </c>
      <c r="E17" s="166" t="s">
        <v>276</v>
      </c>
      <c r="F17" s="167" t="s">
        <v>114</v>
      </c>
      <c r="G17" s="167">
        <v>58</v>
      </c>
      <c r="H17" s="166" t="s">
        <v>266</v>
      </c>
      <c r="I17" s="167">
        <v>168</v>
      </c>
      <c r="J17" s="166" t="s">
        <v>124</v>
      </c>
      <c r="K17" s="167">
        <v>22.6</v>
      </c>
      <c r="L17" s="167" t="s">
        <v>591</v>
      </c>
      <c r="M17" s="167">
        <v>1050</v>
      </c>
      <c r="N17" s="167" t="s">
        <v>690</v>
      </c>
      <c r="O17" s="167" t="s">
        <v>91</v>
      </c>
      <c r="P17" s="167" t="s">
        <v>91</v>
      </c>
      <c r="Q17" s="166" t="s">
        <v>92</v>
      </c>
      <c r="R17" s="166"/>
      <c r="S17" s="166"/>
      <c r="T17" s="166"/>
      <c r="U17" s="166"/>
      <c r="V17" s="166"/>
      <c r="W17" s="168">
        <f t="shared" si="0"/>
        <v>0.97188</v>
      </c>
      <c r="X17" s="167" t="s">
        <v>91</v>
      </c>
      <c r="Y17" s="167" t="s">
        <v>780</v>
      </c>
      <c r="Z17" s="167">
        <v>11.57</v>
      </c>
      <c r="AA17" s="166" t="s">
        <v>125</v>
      </c>
      <c r="AB17" s="166" t="s">
        <v>777</v>
      </c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</row>
    <row r="18" spans="1:55" s="7" customFormat="1" ht="12.75">
      <c r="A18" s="166" t="s">
        <v>88</v>
      </c>
      <c r="B18" s="167">
        <v>1294</v>
      </c>
      <c r="C18" s="166" t="s">
        <v>277</v>
      </c>
      <c r="D18" s="167">
        <v>30600106</v>
      </c>
      <c r="E18" s="166" t="s">
        <v>278</v>
      </c>
      <c r="F18" s="167" t="s">
        <v>114</v>
      </c>
      <c r="G18" s="167">
        <v>59</v>
      </c>
      <c r="H18" s="166" t="s">
        <v>266</v>
      </c>
      <c r="I18" s="167">
        <v>374</v>
      </c>
      <c r="J18" s="166" t="s">
        <v>124</v>
      </c>
      <c r="K18" s="167">
        <v>50.4</v>
      </c>
      <c r="L18" s="167" t="s">
        <v>591</v>
      </c>
      <c r="M18" s="167">
        <v>1050</v>
      </c>
      <c r="N18" s="167" t="s">
        <v>690</v>
      </c>
      <c r="O18" s="167" t="s">
        <v>91</v>
      </c>
      <c r="P18" s="167" t="s">
        <v>91</v>
      </c>
      <c r="Q18" s="166" t="s">
        <v>92</v>
      </c>
      <c r="R18" s="166"/>
      <c r="S18" s="166"/>
      <c r="T18" s="166"/>
      <c r="U18" s="166"/>
      <c r="V18" s="166"/>
      <c r="W18" s="168">
        <f t="shared" si="0"/>
        <v>2.16359</v>
      </c>
      <c r="X18" s="167" t="s">
        <v>91</v>
      </c>
      <c r="Y18" s="167" t="s">
        <v>780</v>
      </c>
      <c r="Z18" s="167">
        <v>11.57</v>
      </c>
      <c r="AA18" s="166" t="s">
        <v>125</v>
      </c>
      <c r="AB18" s="166" t="s">
        <v>777</v>
      </c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</row>
    <row r="19" spans="1:55" s="7" customFormat="1" ht="12.75">
      <c r="A19" s="166" t="s">
        <v>88</v>
      </c>
      <c r="B19" s="167">
        <v>1295</v>
      </c>
      <c r="C19" s="166" t="s">
        <v>279</v>
      </c>
      <c r="D19" s="167">
        <v>10200701</v>
      </c>
      <c r="E19" s="166" t="s">
        <v>280</v>
      </c>
      <c r="F19" s="167" t="s">
        <v>114</v>
      </c>
      <c r="G19" s="167">
        <v>60</v>
      </c>
      <c r="H19" s="166" t="s">
        <v>266</v>
      </c>
      <c r="I19" s="167">
        <v>158</v>
      </c>
      <c r="J19" s="166" t="s">
        <v>124</v>
      </c>
      <c r="K19" s="167">
        <v>83</v>
      </c>
      <c r="L19" s="167" t="s">
        <v>591</v>
      </c>
      <c r="M19" s="167">
        <v>1050</v>
      </c>
      <c r="N19" s="167" t="s">
        <v>690</v>
      </c>
      <c r="O19" s="167" t="s">
        <v>91</v>
      </c>
      <c r="P19" s="167" t="s">
        <v>91</v>
      </c>
      <c r="Q19" s="166" t="s">
        <v>92</v>
      </c>
      <c r="R19" s="166"/>
      <c r="S19" s="166"/>
      <c r="T19" s="166"/>
      <c r="U19" s="166"/>
      <c r="V19" s="166"/>
      <c r="W19" s="168">
        <f t="shared" si="0"/>
        <v>0.91403</v>
      </c>
      <c r="X19" s="167" t="s">
        <v>91</v>
      </c>
      <c r="Y19" s="167" t="s">
        <v>780</v>
      </c>
      <c r="Z19" s="167">
        <v>11.57</v>
      </c>
      <c r="AA19" s="166" t="s">
        <v>125</v>
      </c>
      <c r="AB19" s="166" t="s">
        <v>777</v>
      </c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</row>
    <row r="20" spans="1:55" s="7" customFormat="1" ht="12.75">
      <c r="A20" s="166" t="s">
        <v>88</v>
      </c>
      <c r="B20" s="167">
        <v>1296</v>
      </c>
      <c r="C20" s="166" t="s">
        <v>281</v>
      </c>
      <c r="D20" s="167">
        <v>10200701</v>
      </c>
      <c r="E20" s="166" t="s">
        <v>282</v>
      </c>
      <c r="F20" s="167" t="s">
        <v>114</v>
      </c>
      <c r="G20" s="167">
        <v>61</v>
      </c>
      <c r="H20" s="166" t="s">
        <v>266</v>
      </c>
      <c r="I20" s="167">
        <v>408</v>
      </c>
      <c r="J20" s="166" t="s">
        <v>124</v>
      </c>
      <c r="K20" s="167">
        <v>71</v>
      </c>
      <c r="L20" s="167" t="s">
        <v>591</v>
      </c>
      <c r="M20" s="167">
        <v>1050</v>
      </c>
      <c r="N20" s="167" t="s">
        <v>690</v>
      </c>
      <c r="O20" s="167" t="s">
        <v>91</v>
      </c>
      <c r="P20" s="167" t="s">
        <v>91</v>
      </c>
      <c r="Q20" s="166" t="s">
        <v>92</v>
      </c>
      <c r="R20" s="166"/>
      <c r="S20" s="166"/>
      <c r="T20" s="166"/>
      <c r="U20" s="166"/>
      <c r="V20" s="166"/>
      <c r="W20" s="168">
        <f t="shared" si="0"/>
        <v>2.3602800000000004</v>
      </c>
      <c r="X20" s="167" t="s">
        <v>783</v>
      </c>
      <c r="Y20" s="167" t="s">
        <v>780</v>
      </c>
      <c r="Z20" s="167">
        <v>11.57</v>
      </c>
      <c r="AA20" s="166" t="s">
        <v>125</v>
      </c>
      <c r="AB20" s="166" t="s">
        <v>777</v>
      </c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</row>
    <row r="21" spans="1:55" s="7" customFormat="1" ht="12.75">
      <c r="A21" s="166" t="s">
        <v>88</v>
      </c>
      <c r="B21" s="167">
        <v>1297</v>
      </c>
      <c r="C21" s="166" t="s">
        <v>283</v>
      </c>
      <c r="D21" s="167">
        <v>30600106</v>
      </c>
      <c r="E21" s="166" t="s">
        <v>284</v>
      </c>
      <c r="F21" s="167" t="s">
        <v>114</v>
      </c>
      <c r="G21" s="167">
        <v>62</v>
      </c>
      <c r="H21" s="166" t="s">
        <v>266</v>
      </c>
      <c r="I21" s="167">
        <v>361</v>
      </c>
      <c r="J21" s="166" t="s">
        <v>124</v>
      </c>
      <c r="K21" s="167">
        <v>53.8</v>
      </c>
      <c r="L21" s="167" t="s">
        <v>591</v>
      </c>
      <c r="M21" s="167">
        <v>1050</v>
      </c>
      <c r="N21" s="167" t="s">
        <v>690</v>
      </c>
      <c r="O21" s="167" t="s">
        <v>91</v>
      </c>
      <c r="P21" s="167" t="s">
        <v>91</v>
      </c>
      <c r="Q21" s="166" t="s">
        <v>92</v>
      </c>
      <c r="R21" s="166"/>
      <c r="S21" s="166"/>
      <c r="T21" s="166"/>
      <c r="U21" s="166"/>
      <c r="V21" s="166"/>
      <c r="W21" s="168">
        <f t="shared" si="0"/>
        <v>0.34295</v>
      </c>
      <c r="X21" s="167" t="s">
        <v>91</v>
      </c>
      <c r="Y21" s="167">
        <v>5</v>
      </c>
      <c r="Z21" s="167">
        <v>1.9</v>
      </c>
      <c r="AA21" s="166" t="s">
        <v>125</v>
      </c>
      <c r="AB21" s="166" t="s">
        <v>777</v>
      </c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</row>
    <row r="22" spans="1:55" s="7" customFormat="1" ht="13.5" customHeight="1">
      <c r="A22" s="166" t="s">
        <v>88</v>
      </c>
      <c r="B22" s="167">
        <v>1298</v>
      </c>
      <c r="C22" s="166" t="s">
        <v>285</v>
      </c>
      <c r="D22" s="167">
        <v>30600106</v>
      </c>
      <c r="E22" s="166" t="s">
        <v>286</v>
      </c>
      <c r="F22" s="167" t="s">
        <v>114</v>
      </c>
      <c r="G22" s="167">
        <v>63</v>
      </c>
      <c r="H22" s="166" t="s">
        <v>266</v>
      </c>
      <c r="I22" s="167">
        <v>119</v>
      </c>
      <c r="J22" s="166" t="s">
        <v>124</v>
      </c>
      <c r="K22" s="167">
        <v>16.9</v>
      </c>
      <c r="L22" s="167" t="s">
        <v>591</v>
      </c>
      <c r="M22" s="167">
        <v>1050</v>
      </c>
      <c r="N22" s="167" t="s">
        <v>690</v>
      </c>
      <c r="O22" s="167" t="s">
        <v>91</v>
      </c>
      <c r="P22" s="167" t="s">
        <v>91</v>
      </c>
      <c r="Q22" s="166" t="s">
        <v>92</v>
      </c>
      <c r="R22" s="166"/>
      <c r="S22" s="166"/>
      <c r="T22" s="166"/>
      <c r="U22" s="166"/>
      <c r="V22" s="166"/>
      <c r="W22" s="168">
        <f t="shared" si="0"/>
        <v>0.11305</v>
      </c>
      <c r="X22" s="167" t="s">
        <v>91</v>
      </c>
      <c r="Y22" s="167">
        <v>5</v>
      </c>
      <c r="Z22" s="167">
        <v>1.9</v>
      </c>
      <c r="AA22" s="166" t="s">
        <v>125</v>
      </c>
      <c r="AB22" s="166" t="s">
        <v>777</v>
      </c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</row>
    <row r="23" spans="1:55" s="7" customFormat="1" ht="12.75">
      <c r="A23" s="166" t="s">
        <v>88</v>
      </c>
      <c r="B23" s="167" t="s">
        <v>413</v>
      </c>
      <c r="C23" s="166" t="s">
        <v>287</v>
      </c>
      <c r="D23" s="167">
        <v>10200701</v>
      </c>
      <c r="E23" s="166" t="s">
        <v>288</v>
      </c>
      <c r="F23" s="167" t="s">
        <v>114</v>
      </c>
      <c r="G23" s="167">
        <v>64</v>
      </c>
      <c r="H23" s="166" t="s">
        <v>266</v>
      </c>
      <c r="I23" s="167">
        <v>1615</v>
      </c>
      <c r="J23" s="166" t="s">
        <v>827</v>
      </c>
      <c r="K23" s="167">
        <v>53</v>
      </c>
      <c r="L23" s="167" t="s">
        <v>591</v>
      </c>
      <c r="M23" s="167">
        <v>1050</v>
      </c>
      <c r="N23" s="167" t="s">
        <v>690</v>
      </c>
      <c r="O23" s="167" t="s">
        <v>91</v>
      </c>
      <c r="P23" s="167" t="s">
        <v>91</v>
      </c>
      <c r="Q23" s="166" t="s">
        <v>92</v>
      </c>
      <c r="R23" s="166"/>
      <c r="S23" s="166"/>
      <c r="T23" s="166"/>
      <c r="U23" s="166"/>
      <c r="V23" s="166"/>
      <c r="W23" s="168">
        <v>80.12</v>
      </c>
      <c r="X23" s="167"/>
      <c r="Y23" s="167">
        <v>1</v>
      </c>
      <c r="Z23" s="167">
        <v>72.91</v>
      </c>
      <c r="AA23" s="166" t="s">
        <v>696</v>
      </c>
      <c r="AB23" s="166" t="s">
        <v>828</v>
      </c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</row>
    <row r="24" spans="1:55" s="7" customFormat="1" ht="12.75">
      <c r="A24" s="166" t="s">
        <v>88</v>
      </c>
      <c r="B24" s="167">
        <v>1300</v>
      </c>
      <c r="C24" s="166" t="s">
        <v>289</v>
      </c>
      <c r="D24" s="167">
        <v>10200701</v>
      </c>
      <c r="E24" s="166" t="s">
        <v>290</v>
      </c>
      <c r="F24" s="167" t="s">
        <v>114</v>
      </c>
      <c r="G24" s="167">
        <v>65</v>
      </c>
      <c r="H24" s="166" t="s">
        <v>266</v>
      </c>
      <c r="I24" s="167">
        <v>310</v>
      </c>
      <c r="J24" s="166" t="s">
        <v>124</v>
      </c>
      <c r="K24" s="167">
        <v>42</v>
      </c>
      <c r="L24" s="167" t="s">
        <v>591</v>
      </c>
      <c r="M24" s="167">
        <v>1050</v>
      </c>
      <c r="N24" s="167" t="s">
        <v>690</v>
      </c>
      <c r="O24" s="167" t="s">
        <v>91</v>
      </c>
      <c r="P24" s="167" t="s">
        <v>91</v>
      </c>
      <c r="Q24" s="166" t="s">
        <v>92</v>
      </c>
      <c r="R24" s="166"/>
      <c r="S24" s="166"/>
      <c r="T24" s="166"/>
      <c r="U24" s="166"/>
      <c r="V24" s="166"/>
      <c r="W24" s="168">
        <f t="shared" si="0"/>
        <v>0.2945</v>
      </c>
      <c r="X24" s="167" t="s">
        <v>91</v>
      </c>
      <c r="Y24" s="167" t="s">
        <v>780</v>
      </c>
      <c r="Z24" s="167">
        <v>1.9</v>
      </c>
      <c r="AA24" s="167" t="s">
        <v>125</v>
      </c>
      <c r="AB24" s="166" t="s">
        <v>222</v>
      </c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</row>
    <row r="25" spans="1:55" s="7" customFormat="1" ht="51">
      <c r="A25" s="166" t="s">
        <v>88</v>
      </c>
      <c r="B25" s="167">
        <v>1301</v>
      </c>
      <c r="C25" s="166" t="s">
        <v>291</v>
      </c>
      <c r="D25" s="167">
        <v>30600904</v>
      </c>
      <c r="E25" s="166" t="s">
        <v>292</v>
      </c>
      <c r="F25" s="167" t="s">
        <v>114</v>
      </c>
      <c r="G25" s="167">
        <v>66</v>
      </c>
      <c r="H25" s="166" t="s">
        <v>266</v>
      </c>
      <c r="I25" s="167">
        <v>1</v>
      </c>
      <c r="J25" s="166" t="s">
        <v>124</v>
      </c>
      <c r="K25" s="167">
        <v>1</v>
      </c>
      <c r="L25" s="167" t="s">
        <v>591</v>
      </c>
      <c r="M25" s="167">
        <v>1050</v>
      </c>
      <c r="N25" s="167" t="s">
        <v>690</v>
      </c>
      <c r="O25" s="167" t="s">
        <v>91</v>
      </c>
      <c r="P25" s="167" t="s">
        <v>91</v>
      </c>
      <c r="Q25" s="166" t="s">
        <v>92</v>
      </c>
      <c r="R25" s="166" t="s">
        <v>208</v>
      </c>
      <c r="S25" s="166">
        <v>23</v>
      </c>
      <c r="T25" s="166"/>
      <c r="U25" s="166"/>
      <c r="V25" s="166"/>
      <c r="W25" s="168">
        <f>(Z25*I25/2000)+67.75</f>
        <v>67.75073</v>
      </c>
      <c r="X25" s="167" t="s">
        <v>91</v>
      </c>
      <c r="Y25" s="167">
        <v>4</v>
      </c>
      <c r="Z25" s="167">
        <v>1.46</v>
      </c>
      <c r="AA25" s="166" t="s">
        <v>696</v>
      </c>
      <c r="AB25" s="169" t="s">
        <v>306</v>
      </c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</row>
    <row r="26" spans="1:55" s="7" customFormat="1" ht="12.75">
      <c r="A26" s="166" t="s">
        <v>88</v>
      </c>
      <c r="B26" s="167">
        <v>1304</v>
      </c>
      <c r="C26" s="166" t="s">
        <v>293</v>
      </c>
      <c r="D26" s="167">
        <v>20200202</v>
      </c>
      <c r="E26" s="166" t="s">
        <v>294</v>
      </c>
      <c r="F26" s="167" t="s">
        <v>114</v>
      </c>
      <c r="G26" s="167">
        <v>69</v>
      </c>
      <c r="H26" s="166" t="s">
        <v>206</v>
      </c>
      <c r="I26" s="167">
        <v>0.013</v>
      </c>
      <c r="J26" s="166" t="s">
        <v>124</v>
      </c>
      <c r="K26" s="167">
        <v>1520</v>
      </c>
      <c r="L26" s="167" t="s">
        <v>776</v>
      </c>
      <c r="M26" s="167">
        <v>1050</v>
      </c>
      <c r="N26" s="167" t="s">
        <v>690</v>
      </c>
      <c r="O26" s="167" t="s">
        <v>91</v>
      </c>
      <c r="P26" s="167" t="s">
        <v>91</v>
      </c>
      <c r="Q26" s="166" t="s">
        <v>92</v>
      </c>
      <c r="R26" s="166"/>
      <c r="S26" s="166"/>
      <c r="T26" s="166"/>
      <c r="U26" s="166"/>
      <c r="V26" s="166"/>
      <c r="W26" s="168">
        <f aca="true" t="shared" si="1" ref="W26:W31">Z26*I26/2000</f>
        <v>1.2349999999999999E-05</v>
      </c>
      <c r="X26" s="167" t="s">
        <v>91</v>
      </c>
      <c r="Y26" s="167" t="s">
        <v>780</v>
      </c>
      <c r="Z26" s="167">
        <v>1.9</v>
      </c>
      <c r="AA26" s="167" t="s">
        <v>125</v>
      </c>
      <c r="AB26" s="166" t="s">
        <v>222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</row>
    <row r="27" spans="1:55" s="7" customFormat="1" ht="25.5">
      <c r="A27" s="166" t="s">
        <v>88</v>
      </c>
      <c r="B27" s="167">
        <v>2645</v>
      </c>
      <c r="C27" s="166" t="s">
        <v>295</v>
      </c>
      <c r="D27" s="167">
        <v>30600904</v>
      </c>
      <c r="E27" s="166" t="s">
        <v>296</v>
      </c>
      <c r="F27" s="167" t="s">
        <v>114</v>
      </c>
      <c r="G27" s="167">
        <v>1793</v>
      </c>
      <c r="H27" s="166" t="s">
        <v>266</v>
      </c>
      <c r="I27" s="167">
        <v>1</v>
      </c>
      <c r="J27" s="166" t="s">
        <v>124</v>
      </c>
      <c r="K27" s="167">
        <v>2.9</v>
      </c>
      <c r="L27" s="167" t="s">
        <v>591</v>
      </c>
      <c r="M27" s="167">
        <v>1050</v>
      </c>
      <c r="N27" s="167" t="s">
        <v>690</v>
      </c>
      <c r="O27" s="167" t="s">
        <v>91</v>
      </c>
      <c r="P27" s="167" t="s">
        <v>91</v>
      </c>
      <c r="Q27" s="166" t="s">
        <v>92</v>
      </c>
      <c r="R27" s="166" t="s">
        <v>208</v>
      </c>
      <c r="S27" s="166">
        <v>23</v>
      </c>
      <c r="T27" s="166"/>
      <c r="U27" s="166"/>
      <c r="V27" s="166"/>
      <c r="W27" s="168">
        <f>Z27*I27/2000+2.32</f>
        <v>2.3207299999999997</v>
      </c>
      <c r="X27" s="167" t="s">
        <v>91</v>
      </c>
      <c r="Y27" s="167">
        <v>4</v>
      </c>
      <c r="Z27" s="167">
        <v>1.46</v>
      </c>
      <c r="AA27" s="166" t="s">
        <v>696</v>
      </c>
      <c r="AB27" s="169" t="s">
        <v>307</v>
      </c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</row>
    <row r="28" spans="1:55" s="7" customFormat="1" ht="12.75">
      <c r="A28" s="166" t="s">
        <v>88</v>
      </c>
      <c r="B28" s="167">
        <v>2646</v>
      </c>
      <c r="C28" s="166" t="s">
        <v>297</v>
      </c>
      <c r="D28" s="167">
        <v>30600106</v>
      </c>
      <c r="E28" s="166" t="s">
        <v>298</v>
      </c>
      <c r="F28" s="167" t="s">
        <v>114</v>
      </c>
      <c r="G28" s="167">
        <v>1794</v>
      </c>
      <c r="H28" s="166" t="s">
        <v>266</v>
      </c>
      <c r="I28" s="167">
        <v>26</v>
      </c>
      <c r="J28" s="166" t="s">
        <v>124</v>
      </c>
      <c r="K28" s="167">
        <v>6.5</v>
      </c>
      <c r="L28" s="167" t="s">
        <v>591</v>
      </c>
      <c r="M28" s="167">
        <v>1050</v>
      </c>
      <c r="N28" s="167" t="s">
        <v>690</v>
      </c>
      <c r="O28" s="167" t="s">
        <v>91</v>
      </c>
      <c r="P28" s="167" t="s">
        <v>91</v>
      </c>
      <c r="Q28" s="166" t="s">
        <v>92</v>
      </c>
      <c r="R28" s="166"/>
      <c r="S28" s="166"/>
      <c r="T28" s="166"/>
      <c r="U28" s="166"/>
      <c r="V28" s="166"/>
      <c r="W28" s="168">
        <f t="shared" si="1"/>
        <v>0.0247</v>
      </c>
      <c r="X28" s="167" t="s">
        <v>91</v>
      </c>
      <c r="Y28" s="167" t="s">
        <v>781</v>
      </c>
      <c r="Z28" s="167">
        <v>1.9</v>
      </c>
      <c r="AA28" s="167" t="s">
        <v>125</v>
      </c>
      <c r="AB28" s="166" t="s">
        <v>222</v>
      </c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</row>
    <row r="29" spans="1:55" s="7" customFormat="1" ht="12.75">
      <c r="A29" s="166" t="s">
        <v>88</v>
      </c>
      <c r="B29" s="167">
        <v>2647</v>
      </c>
      <c r="C29" s="166" t="s">
        <v>299</v>
      </c>
      <c r="D29" s="167">
        <v>30600106</v>
      </c>
      <c r="E29" s="166" t="s">
        <v>300</v>
      </c>
      <c r="F29" s="167" t="s">
        <v>114</v>
      </c>
      <c r="G29" s="167">
        <v>1795</v>
      </c>
      <c r="H29" s="166" t="s">
        <v>266</v>
      </c>
      <c r="I29" s="167">
        <v>20</v>
      </c>
      <c r="J29" s="166" t="s">
        <v>124</v>
      </c>
      <c r="K29" s="167">
        <v>2.2</v>
      </c>
      <c r="L29" s="167" t="s">
        <v>591</v>
      </c>
      <c r="M29" s="167">
        <v>1050</v>
      </c>
      <c r="N29" s="167" t="s">
        <v>690</v>
      </c>
      <c r="O29" s="167" t="s">
        <v>91</v>
      </c>
      <c r="P29" s="167" t="s">
        <v>91</v>
      </c>
      <c r="Q29" s="166" t="s">
        <v>92</v>
      </c>
      <c r="R29" s="166"/>
      <c r="S29" s="166"/>
      <c r="T29" s="166"/>
      <c r="U29" s="166"/>
      <c r="V29" s="166"/>
      <c r="W29" s="168">
        <f t="shared" si="1"/>
        <v>0.019</v>
      </c>
      <c r="X29" s="167" t="s">
        <v>91</v>
      </c>
      <c r="Y29" s="167" t="s">
        <v>780</v>
      </c>
      <c r="Z29" s="167">
        <v>1.9</v>
      </c>
      <c r="AA29" s="167" t="s">
        <v>125</v>
      </c>
      <c r="AB29" s="166" t="s">
        <v>222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:55" s="7" customFormat="1" ht="12.75">
      <c r="A30" s="166" t="s">
        <v>88</v>
      </c>
      <c r="B30" s="167">
        <v>2648</v>
      </c>
      <c r="C30" s="166" t="s">
        <v>301</v>
      </c>
      <c r="D30" s="167">
        <v>30600106</v>
      </c>
      <c r="E30" s="166" t="s">
        <v>302</v>
      </c>
      <c r="F30" s="167" t="s">
        <v>114</v>
      </c>
      <c r="G30" s="167">
        <v>1796</v>
      </c>
      <c r="H30" s="166" t="s">
        <v>266</v>
      </c>
      <c r="I30" s="167">
        <v>56</v>
      </c>
      <c r="J30" s="166" t="s">
        <v>124</v>
      </c>
      <c r="K30" s="167">
        <v>6.6</v>
      </c>
      <c r="L30" s="167" t="s">
        <v>591</v>
      </c>
      <c r="M30" s="167">
        <v>1050</v>
      </c>
      <c r="N30" s="167" t="s">
        <v>690</v>
      </c>
      <c r="O30" s="167" t="s">
        <v>91</v>
      </c>
      <c r="P30" s="167" t="s">
        <v>91</v>
      </c>
      <c r="Q30" s="166" t="s">
        <v>92</v>
      </c>
      <c r="R30" s="166"/>
      <c r="S30" s="166"/>
      <c r="T30" s="166"/>
      <c r="U30" s="166"/>
      <c r="V30" s="166"/>
      <c r="W30" s="168">
        <f t="shared" si="1"/>
        <v>0.0532</v>
      </c>
      <c r="X30" s="167" t="s">
        <v>91</v>
      </c>
      <c r="Y30" s="167" t="s">
        <v>780</v>
      </c>
      <c r="Z30" s="167">
        <v>1.9</v>
      </c>
      <c r="AA30" s="167" t="s">
        <v>125</v>
      </c>
      <c r="AB30" s="166" t="s">
        <v>222</v>
      </c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</row>
    <row r="31" spans="1:55" s="7" customFormat="1" ht="12.75">
      <c r="A31" s="166" t="s">
        <v>88</v>
      </c>
      <c r="B31" s="167">
        <v>2649</v>
      </c>
      <c r="C31" s="166" t="s">
        <v>303</v>
      </c>
      <c r="D31" s="167">
        <v>30609904</v>
      </c>
      <c r="E31" s="166" t="s">
        <v>825</v>
      </c>
      <c r="F31" s="167" t="s">
        <v>114</v>
      </c>
      <c r="G31" s="167">
        <v>1797</v>
      </c>
      <c r="H31" s="166" t="s">
        <v>266</v>
      </c>
      <c r="I31" s="167">
        <v>6</v>
      </c>
      <c r="J31" s="166" t="s">
        <v>124</v>
      </c>
      <c r="K31" s="167">
        <v>3</v>
      </c>
      <c r="L31" s="167" t="s">
        <v>591</v>
      </c>
      <c r="M31" s="167">
        <v>1050</v>
      </c>
      <c r="N31" s="167" t="s">
        <v>690</v>
      </c>
      <c r="O31" s="167" t="s">
        <v>91</v>
      </c>
      <c r="P31" s="167" t="s">
        <v>91</v>
      </c>
      <c r="Q31" s="166" t="s">
        <v>92</v>
      </c>
      <c r="R31" s="166"/>
      <c r="S31" s="166"/>
      <c r="T31" s="166"/>
      <c r="U31" s="166"/>
      <c r="V31" s="166"/>
      <c r="W31" s="168">
        <f t="shared" si="1"/>
        <v>0.005699999999999999</v>
      </c>
      <c r="X31" s="167" t="s">
        <v>91</v>
      </c>
      <c r="Y31" s="167" t="s">
        <v>780</v>
      </c>
      <c r="Z31" s="167">
        <v>1.9</v>
      </c>
      <c r="AA31" s="167" t="s">
        <v>125</v>
      </c>
      <c r="AB31" s="166" t="s">
        <v>822</v>
      </c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</row>
    <row r="32" spans="1:55" s="7" customFormat="1" ht="12.75">
      <c r="A32" s="166">
        <v>2</v>
      </c>
      <c r="B32" s="167">
        <v>21169</v>
      </c>
      <c r="C32" s="166" t="s">
        <v>303</v>
      </c>
      <c r="D32" s="167">
        <v>30609904</v>
      </c>
      <c r="E32" s="166" t="s">
        <v>824</v>
      </c>
      <c r="F32" s="167" t="s">
        <v>114</v>
      </c>
      <c r="G32" s="167">
        <v>0</v>
      </c>
      <c r="H32" s="166" t="s">
        <v>782</v>
      </c>
      <c r="I32" s="167">
        <v>31.7</v>
      </c>
      <c r="J32" s="166" t="s">
        <v>49</v>
      </c>
      <c r="K32" s="167"/>
      <c r="L32" s="167"/>
      <c r="M32" s="167"/>
      <c r="N32" s="167"/>
      <c r="O32" s="167"/>
      <c r="P32" s="167"/>
      <c r="Q32" s="166" t="s">
        <v>92</v>
      </c>
      <c r="R32" s="166"/>
      <c r="S32" s="166"/>
      <c r="T32" s="166"/>
      <c r="U32" s="166"/>
      <c r="V32" s="166"/>
      <c r="W32" s="168">
        <v>63.36</v>
      </c>
      <c r="X32" s="167"/>
      <c r="Y32" s="167" t="s">
        <v>823</v>
      </c>
      <c r="Z32" s="167">
        <v>1.9</v>
      </c>
      <c r="AA32" s="167"/>
      <c r="AB32" s="166" t="s">
        <v>222</v>
      </c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</row>
    <row r="33" spans="1:55" s="7" customFormat="1" ht="13.5" thickBo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23" t="s">
        <v>412</v>
      </c>
      <c r="W33" s="465">
        <f>SUM(W12:W32)</f>
        <v>224.93905734999998</v>
      </c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</row>
    <row r="34" spans="1:55" ht="13.5" thickTop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165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</row>
    <row r="35" spans="1:55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165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</row>
    <row r="36" spans="2:55" ht="12.75">
      <c r="B36" s="71"/>
      <c r="C36" s="164">
        <v>1288</v>
      </c>
      <c r="D36" s="163" t="s">
        <v>826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65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</row>
    <row r="37" spans="2:55" ht="12.75">
      <c r="B37" s="71"/>
      <c r="C37" s="164">
        <v>1289</v>
      </c>
      <c r="D37" s="163" t="s">
        <v>826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165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</row>
    <row r="38" spans="2:55" ht="12.75">
      <c r="B38" s="71"/>
      <c r="C38" s="164">
        <v>1290</v>
      </c>
      <c r="D38" s="163" t="s">
        <v>826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165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</row>
    <row r="39" spans="1:55" ht="12.75">
      <c r="A39" s="71"/>
      <c r="C39" s="164">
        <v>1291</v>
      </c>
      <c r="D39" s="163" t="s">
        <v>826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165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</row>
    <row r="40" spans="1:55" ht="12.75">
      <c r="A40" s="71"/>
      <c r="C40" s="164">
        <v>1292</v>
      </c>
      <c r="D40" s="163" t="s">
        <v>826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165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</row>
    <row r="41" spans="1:55" ht="12.75">
      <c r="A41" s="71"/>
      <c r="C41" s="164">
        <v>1293</v>
      </c>
      <c r="D41" s="163" t="s">
        <v>826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165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</row>
    <row r="42" spans="3:23" ht="12.75">
      <c r="C42" s="164">
        <v>1294</v>
      </c>
      <c r="D42" s="163" t="s">
        <v>826</v>
      </c>
      <c r="W42" s="42"/>
    </row>
    <row r="43" spans="3:23" ht="12.75">
      <c r="C43" s="164">
        <v>1295</v>
      </c>
      <c r="D43" s="163" t="s">
        <v>826</v>
      </c>
      <c r="W43" s="42"/>
    </row>
    <row r="44" spans="3:23" ht="12.75">
      <c r="C44" s="164">
        <v>1296</v>
      </c>
      <c r="D44" s="163" t="s">
        <v>826</v>
      </c>
      <c r="W44" s="42"/>
    </row>
    <row r="45" spans="3:23" ht="12.75">
      <c r="C45" s="164">
        <v>1297</v>
      </c>
      <c r="D45" s="163" t="s">
        <v>826</v>
      </c>
      <c r="W45" s="42"/>
    </row>
    <row r="46" spans="3:23" ht="12.75">
      <c r="C46" s="164">
        <v>1298</v>
      </c>
      <c r="D46" s="163" t="s">
        <v>826</v>
      </c>
      <c r="W46" s="42"/>
    </row>
    <row r="47" spans="3:23" ht="12.75">
      <c r="C47" s="164">
        <v>1299</v>
      </c>
      <c r="D47" s="163" t="s">
        <v>308</v>
      </c>
      <c r="W47" s="42"/>
    </row>
    <row r="48" spans="3:23" ht="12.75">
      <c r="C48" s="164">
        <v>1300</v>
      </c>
      <c r="D48" s="163" t="s">
        <v>826</v>
      </c>
      <c r="W48" s="42"/>
    </row>
    <row r="49" spans="3:23" ht="12.75">
      <c r="C49" t="s">
        <v>829</v>
      </c>
      <c r="W49" s="42"/>
    </row>
    <row r="50" spans="4:23" ht="12.75">
      <c r="D50" t="s">
        <v>779</v>
      </c>
      <c r="W50" s="42"/>
    </row>
    <row r="51" spans="4:23" ht="12.75">
      <c r="D51" t="s">
        <v>784</v>
      </c>
      <c r="W51" s="42"/>
    </row>
    <row r="52" spans="4:23" ht="12.75">
      <c r="D52" t="s">
        <v>785</v>
      </c>
      <c r="W52" s="42"/>
    </row>
    <row r="53" ht="12.75">
      <c r="W53" s="42"/>
    </row>
    <row r="54" ht="12.75">
      <c r="W54" s="42"/>
    </row>
    <row r="55" ht="12.75">
      <c r="W55" s="42"/>
    </row>
    <row r="56" ht="12.75">
      <c r="W56" s="42"/>
    </row>
    <row r="57" ht="12.75">
      <c r="W57" s="42"/>
    </row>
    <row r="58" ht="12.75">
      <c r="W58" s="42"/>
    </row>
    <row r="59" ht="12.75">
      <c r="W59" s="42"/>
    </row>
    <row r="60" ht="12.75">
      <c r="W60" s="42"/>
    </row>
    <row r="61" ht="12.75">
      <c r="W61" s="42"/>
    </row>
    <row r="62" ht="12.75">
      <c r="W62" s="42"/>
    </row>
    <row r="63" ht="12.75">
      <c r="W63" s="42"/>
    </row>
    <row r="64" ht="12.75">
      <c r="W64" s="42"/>
    </row>
    <row r="65" ht="12.75">
      <c r="W65" s="42"/>
    </row>
    <row r="66" ht="12.75">
      <c r="W66" s="42"/>
    </row>
    <row r="67" ht="12.75">
      <c r="W67" s="42"/>
    </row>
    <row r="68" ht="12.75">
      <c r="W68" s="42"/>
    </row>
    <row r="69" ht="12.75">
      <c r="W69" s="42"/>
    </row>
    <row r="70" ht="12.75">
      <c r="W70" s="42"/>
    </row>
    <row r="71" ht="12.75">
      <c r="W71" s="42"/>
    </row>
    <row r="72" ht="12.75">
      <c r="W72" s="42"/>
    </row>
    <row r="73" ht="12.75">
      <c r="W73" s="42"/>
    </row>
    <row r="74" ht="12.75">
      <c r="W74" s="42"/>
    </row>
    <row r="75" ht="12.75">
      <c r="W75" s="42"/>
    </row>
    <row r="76" ht="12.75">
      <c r="W76" s="42"/>
    </row>
    <row r="77" ht="12.75">
      <c r="W77" s="42"/>
    </row>
    <row r="78" ht="12.75">
      <c r="W78" s="42"/>
    </row>
    <row r="79" ht="12.75">
      <c r="W79" s="42"/>
    </row>
    <row r="80" ht="12.75">
      <c r="W80" s="42"/>
    </row>
    <row r="81" ht="12.75">
      <c r="W81" s="42"/>
    </row>
    <row r="82" ht="12.75">
      <c r="W82" s="42"/>
    </row>
    <row r="83" ht="12.75">
      <c r="W83" s="42"/>
    </row>
    <row r="84" ht="12.75">
      <c r="W84" s="42"/>
    </row>
    <row r="85" ht="12.75">
      <c r="W85" s="42"/>
    </row>
    <row r="86" ht="12.75">
      <c r="W86" s="42"/>
    </row>
    <row r="87" ht="12.75">
      <c r="W87" s="42"/>
    </row>
    <row r="88" ht="12.75">
      <c r="W88" s="42"/>
    </row>
    <row r="89" ht="12.75">
      <c r="W89" s="42"/>
    </row>
    <row r="90" ht="12.75">
      <c r="W90" s="42"/>
    </row>
    <row r="91" ht="12.75">
      <c r="W91" s="42"/>
    </row>
    <row r="92" ht="12.75">
      <c r="W92" s="42"/>
    </row>
    <row r="93" ht="12.75">
      <c r="W93" s="42"/>
    </row>
    <row r="94" ht="12.75">
      <c r="W94" s="42"/>
    </row>
    <row r="95" ht="12.75">
      <c r="W95" s="42"/>
    </row>
    <row r="96" ht="12.75">
      <c r="W96" s="42"/>
    </row>
    <row r="97" ht="12.75">
      <c r="W97" s="42"/>
    </row>
    <row r="98" ht="12.75">
      <c r="W98" s="42"/>
    </row>
    <row r="99" ht="12.75">
      <c r="W99" s="42"/>
    </row>
    <row r="100" ht="12.75">
      <c r="W100" s="42"/>
    </row>
    <row r="101" ht="12.75">
      <c r="W101" s="42"/>
    </row>
    <row r="102" ht="12.75">
      <c r="W102" s="42"/>
    </row>
    <row r="103" ht="12.75">
      <c r="W103" s="42"/>
    </row>
    <row r="104" ht="12.75">
      <c r="W104" s="42"/>
    </row>
    <row r="105" ht="12.75">
      <c r="W105" s="42"/>
    </row>
    <row r="106" ht="12.75">
      <c r="W106" s="42"/>
    </row>
    <row r="107" ht="12.75">
      <c r="W107" s="42"/>
    </row>
    <row r="108" ht="12.75">
      <c r="W108" s="42"/>
    </row>
    <row r="109" ht="12.75">
      <c r="W109" s="42"/>
    </row>
    <row r="110" ht="12.75">
      <c r="W110" s="42"/>
    </row>
    <row r="111" ht="12.75">
      <c r="W111" s="42"/>
    </row>
  </sheetData>
  <mergeCells count="24">
    <mergeCell ref="AB9:AB11"/>
    <mergeCell ref="T9:U9"/>
    <mergeCell ref="V9:V11"/>
    <mergeCell ref="W9:W11"/>
    <mergeCell ref="U10:U11"/>
    <mergeCell ref="T10:T11"/>
    <mergeCell ref="X9:X11"/>
    <mergeCell ref="Y9:Y11"/>
    <mergeCell ref="Z9:Z11"/>
    <mergeCell ref="AA9:AA11"/>
    <mergeCell ref="A9:A11"/>
    <mergeCell ref="B9:B11"/>
    <mergeCell ref="C9:C11"/>
    <mergeCell ref="D9:D11"/>
    <mergeCell ref="E9:E11"/>
    <mergeCell ref="F9:F11"/>
    <mergeCell ref="G9:G11"/>
    <mergeCell ref="H9:H11"/>
    <mergeCell ref="I9:L10"/>
    <mergeCell ref="M9:P10"/>
    <mergeCell ref="Q9:Q11"/>
    <mergeCell ref="R9:S9"/>
    <mergeCell ref="R10:R11"/>
    <mergeCell ref="S10:S11"/>
  </mergeCells>
  <printOptions/>
  <pageMargins left="0.18" right="0.16" top="1.77" bottom="1" header="0.5" footer="0.5"/>
  <pageSetup horizontalDpi="600" verticalDpi="600" orientation="landscape" pageOrder="overThenDown" r:id="rId3"/>
  <headerFooter alignWithMargins="0">
    <oddHeader>&amp;L
Flying J Incorporated
Site Name:  Flying J Refinery 
(Big West Oil Co.)
Site ID 10122&amp;C&amp;"Arial,Bold"Regional Haze&amp;"Arial,Regular"
1998 Statewide SOx Sources</oddHeader>
    <oddFooter>&amp;R&amp;D
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52"/>
  <sheetViews>
    <sheetView workbookViewId="0" topLeftCell="A1">
      <selection activeCell="A7" sqref="A7:AB48"/>
    </sheetView>
  </sheetViews>
  <sheetFormatPr defaultColWidth="9.140625" defaultRowHeight="12.75"/>
  <cols>
    <col min="1" max="1" width="8.00390625" style="0" customWidth="1"/>
    <col min="2" max="2" width="8.28125" style="37" customWidth="1"/>
    <col min="3" max="3" width="9.8515625" style="0" customWidth="1"/>
    <col min="4" max="4" width="9.7109375" style="37" customWidth="1"/>
    <col min="5" max="5" width="32.421875" style="0" bestFit="1" customWidth="1"/>
    <col min="6" max="6" width="8.140625" style="0" customWidth="1"/>
    <col min="7" max="7" width="10.7109375" style="37" customWidth="1"/>
    <col min="8" max="8" width="30.00390625" style="0" bestFit="1" customWidth="1"/>
    <col min="9" max="9" width="9.57421875" style="0" bestFit="1" customWidth="1"/>
    <col min="10" max="10" width="16.7109375" style="17" customWidth="1"/>
    <col min="11" max="11" width="11.57421875" style="0" bestFit="1" customWidth="1"/>
    <col min="12" max="12" width="7.140625" style="0" customWidth="1"/>
    <col min="13" max="13" width="8.28125" style="37" customWidth="1"/>
    <col min="14" max="14" width="6.421875" style="0" customWidth="1"/>
    <col min="15" max="15" width="7.57421875" style="0" customWidth="1"/>
    <col min="16" max="16" width="6.140625" style="0" customWidth="1"/>
    <col min="17" max="17" width="9.28125" style="0" bestFit="1" customWidth="1"/>
    <col min="18" max="18" width="15.7109375" style="0" customWidth="1"/>
    <col min="19" max="19" width="9.140625" style="37" customWidth="1"/>
    <col min="20" max="20" width="17.7109375" style="0" customWidth="1"/>
    <col min="21" max="21" width="9.28125" style="0" bestFit="1" customWidth="1"/>
    <col min="22" max="22" width="9.28125" style="33" customWidth="1"/>
    <col min="23" max="23" width="10.140625" style="0" customWidth="1"/>
    <col min="24" max="24" width="11.421875" style="0" customWidth="1"/>
    <col min="25" max="25" width="9.28125" style="33" customWidth="1"/>
    <col min="26" max="26" width="9.28125" style="37" bestFit="1" customWidth="1"/>
    <col min="27" max="27" width="18.57421875" style="0" bestFit="1" customWidth="1"/>
    <col min="28" max="28" width="48.421875" style="37" customWidth="1"/>
    <col min="29" max="29" width="29.140625" style="0" customWidth="1"/>
    <col min="30" max="30" width="9.28125" style="0" bestFit="1" customWidth="1"/>
  </cols>
  <sheetData>
    <row r="1" spans="2:5" ht="15.75">
      <c r="B1" s="38"/>
      <c r="E1" s="2" t="s">
        <v>84</v>
      </c>
    </row>
    <row r="2" spans="1:5" ht="15">
      <c r="A2" s="12"/>
      <c r="B2" s="38"/>
      <c r="E2" s="3" t="s">
        <v>737</v>
      </c>
    </row>
    <row r="3" spans="1:5" ht="15">
      <c r="A3" s="36" t="s">
        <v>309</v>
      </c>
      <c r="B3" s="38"/>
      <c r="E3" s="3"/>
    </row>
    <row r="4" spans="1:3" ht="12.75">
      <c r="A4" s="12" t="s">
        <v>53</v>
      </c>
      <c r="B4" s="38" t="s">
        <v>54</v>
      </c>
      <c r="C4" s="36" t="s">
        <v>310</v>
      </c>
    </row>
    <row r="5" spans="1:2" ht="12.75">
      <c r="A5" s="12">
        <v>10796</v>
      </c>
      <c r="B5" s="38"/>
    </row>
    <row r="6" ht="13.5" thickBot="1"/>
    <row r="7" spans="1:66" ht="16.5" customHeight="1">
      <c r="A7" s="558" t="s">
        <v>83</v>
      </c>
      <c r="B7" s="561" t="s">
        <v>69</v>
      </c>
      <c r="C7" s="541" t="s">
        <v>68</v>
      </c>
      <c r="D7" s="541" t="s">
        <v>67</v>
      </c>
      <c r="E7" s="541" t="s">
        <v>66</v>
      </c>
      <c r="F7" s="541" t="s">
        <v>63</v>
      </c>
      <c r="G7" s="541" t="s">
        <v>64</v>
      </c>
      <c r="H7" s="541" t="s">
        <v>65</v>
      </c>
      <c r="I7" s="618" t="s">
        <v>439</v>
      </c>
      <c r="J7" s="619"/>
      <c r="K7" s="619"/>
      <c r="L7" s="620"/>
      <c r="M7" s="608" t="s">
        <v>55</v>
      </c>
      <c r="N7" s="596"/>
      <c r="O7" s="596"/>
      <c r="P7" s="596"/>
      <c r="Q7" s="541" t="s">
        <v>72</v>
      </c>
      <c r="R7" s="572" t="s">
        <v>70</v>
      </c>
      <c r="S7" s="572"/>
      <c r="T7" s="572" t="s">
        <v>71</v>
      </c>
      <c r="U7" s="572"/>
      <c r="V7" s="541" t="s">
        <v>80</v>
      </c>
      <c r="W7" s="614" t="s">
        <v>305</v>
      </c>
      <c r="X7" s="541" t="s">
        <v>74</v>
      </c>
      <c r="Y7" s="541" t="s">
        <v>76</v>
      </c>
      <c r="Z7" s="541" t="s">
        <v>77</v>
      </c>
      <c r="AA7" s="541" t="s">
        <v>78</v>
      </c>
      <c r="AB7" s="603" t="s">
        <v>79</v>
      </c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</row>
    <row r="8" spans="1:66" s="1" customFormat="1" ht="24.75" customHeight="1">
      <c r="A8" s="602"/>
      <c r="B8" s="600"/>
      <c r="C8" s="598"/>
      <c r="D8" s="598"/>
      <c r="E8" s="598"/>
      <c r="F8" s="598"/>
      <c r="G8" s="598"/>
      <c r="H8" s="598"/>
      <c r="I8" s="621"/>
      <c r="J8" s="622"/>
      <c r="K8" s="622"/>
      <c r="L8" s="623"/>
      <c r="M8" s="609"/>
      <c r="N8" s="598"/>
      <c r="O8" s="598"/>
      <c r="P8" s="598"/>
      <c r="Q8" s="601"/>
      <c r="R8" s="557" t="s">
        <v>81</v>
      </c>
      <c r="S8" s="557" t="s">
        <v>73</v>
      </c>
      <c r="T8" s="557" t="s">
        <v>82</v>
      </c>
      <c r="U8" s="557" t="s">
        <v>73</v>
      </c>
      <c r="V8" s="557"/>
      <c r="W8" s="615"/>
      <c r="X8" s="557"/>
      <c r="Y8" s="557"/>
      <c r="Z8" s="557"/>
      <c r="AA8" s="601"/>
      <c r="AB8" s="604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</row>
    <row r="9" spans="1:66" ht="25.5" customHeight="1" thickBot="1">
      <c r="A9" s="612"/>
      <c r="B9" s="613"/>
      <c r="C9" s="611"/>
      <c r="D9" s="611"/>
      <c r="E9" s="611"/>
      <c r="F9" s="611"/>
      <c r="G9" s="611"/>
      <c r="H9" s="611"/>
      <c r="I9" s="56" t="s">
        <v>57</v>
      </c>
      <c r="J9" s="182" t="s">
        <v>58</v>
      </c>
      <c r="K9" s="56" t="s">
        <v>56</v>
      </c>
      <c r="L9" s="183" t="s">
        <v>59</v>
      </c>
      <c r="M9" s="184" t="s">
        <v>60</v>
      </c>
      <c r="N9" s="56" t="s">
        <v>59</v>
      </c>
      <c r="O9" s="56" t="s">
        <v>61</v>
      </c>
      <c r="P9" s="56" t="s">
        <v>62</v>
      </c>
      <c r="Q9" s="610"/>
      <c r="R9" s="563"/>
      <c r="S9" s="563"/>
      <c r="T9" s="610"/>
      <c r="U9" s="563"/>
      <c r="V9" s="563"/>
      <c r="W9" s="616"/>
      <c r="X9" s="563"/>
      <c r="Y9" s="563"/>
      <c r="Z9" s="563"/>
      <c r="AA9" s="610"/>
      <c r="AB9" s="617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</row>
    <row r="10" spans="1:28" ht="12.75">
      <c r="A10" s="185" t="s">
        <v>135</v>
      </c>
      <c r="B10" s="186">
        <v>980</v>
      </c>
      <c r="C10" s="187" t="s">
        <v>311</v>
      </c>
      <c r="D10" s="186">
        <v>30300999</v>
      </c>
      <c r="E10" s="187" t="s">
        <v>312</v>
      </c>
      <c r="F10" s="188" t="s">
        <v>114</v>
      </c>
      <c r="G10" s="186">
        <v>0</v>
      </c>
      <c r="H10" s="187" t="s">
        <v>229</v>
      </c>
      <c r="I10" s="188">
        <v>108.215</v>
      </c>
      <c r="J10" s="187" t="s">
        <v>573</v>
      </c>
      <c r="K10" s="188"/>
      <c r="L10" s="188"/>
      <c r="M10" s="189">
        <v>0</v>
      </c>
      <c r="N10" s="190" t="s">
        <v>133</v>
      </c>
      <c r="O10" s="188"/>
      <c r="P10" s="188"/>
      <c r="Q10" s="187" t="s">
        <v>92</v>
      </c>
      <c r="R10" s="187"/>
      <c r="S10" s="191"/>
      <c r="T10" s="187"/>
      <c r="U10" s="187"/>
      <c r="V10" s="192"/>
      <c r="W10" s="188">
        <f>Z10*I10/2000</f>
        <v>0.28568760000000004</v>
      </c>
      <c r="X10" s="193" t="s">
        <v>91</v>
      </c>
      <c r="Y10" s="186">
        <v>3</v>
      </c>
      <c r="Z10" s="189">
        <v>5.28</v>
      </c>
      <c r="AA10" s="190" t="s">
        <v>699</v>
      </c>
      <c r="AB10" s="194" t="s">
        <v>362</v>
      </c>
    </row>
    <row r="11" spans="1:28" ht="12.75">
      <c r="A11" s="195" t="s">
        <v>135</v>
      </c>
      <c r="B11" s="173">
        <v>1127</v>
      </c>
      <c r="C11" s="172" t="s">
        <v>313</v>
      </c>
      <c r="D11" s="173">
        <v>30300999</v>
      </c>
      <c r="E11" s="172" t="s">
        <v>236</v>
      </c>
      <c r="F11" s="174" t="s">
        <v>114</v>
      </c>
      <c r="G11" s="173">
        <v>0</v>
      </c>
      <c r="H11" s="172" t="s">
        <v>232</v>
      </c>
      <c r="I11" s="174">
        <v>743.22</v>
      </c>
      <c r="J11" s="172" t="s">
        <v>573</v>
      </c>
      <c r="K11" s="174"/>
      <c r="L11" s="174"/>
      <c r="M11" s="175">
        <v>0</v>
      </c>
      <c r="N11" s="176" t="s">
        <v>133</v>
      </c>
      <c r="O11" s="174"/>
      <c r="P11" s="174"/>
      <c r="Q11" s="172" t="s">
        <v>92</v>
      </c>
      <c r="R11" s="172"/>
      <c r="S11" s="177"/>
      <c r="T11" s="172"/>
      <c r="U11" s="172"/>
      <c r="V11" s="178"/>
      <c r="W11" s="174">
        <f>Z11*I11/2000</f>
        <v>11.557071000000002</v>
      </c>
      <c r="X11" s="179" t="s">
        <v>91</v>
      </c>
      <c r="Y11" s="173">
        <v>3</v>
      </c>
      <c r="Z11" s="175">
        <v>31.1</v>
      </c>
      <c r="AA11" s="176" t="s">
        <v>699</v>
      </c>
      <c r="AB11" s="196" t="s">
        <v>362</v>
      </c>
    </row>
    <row r="12" spans="1:28" ht="12.75">
      <c r="A12" s="195" t="s">
        <v>88</v>
      </c>
      <c r="B12" s="173">
        <v>2604</v>
      </c>
      <c r="C12" s="172" t="s">
        <v>314</v>
      </c>
      <c r="D12" s="173">
        <v>30300315</v>
      </c>
      <c r="E12" s="172" t="s">
        <v>315</v>
      </c>
      <c r="F12" s="174" t="s">
        <v>114</v>
      </c>
      <c r="G12" s="173">
        <v>0</v>
      </c>
      <c r="H12" s="172" t="s">
        <v>316</v>
      </c>
      <c r="I12" s="174">
        <v>12527</v>
      </c>
      <c r="J12" s="172" t="s">
        <v>363</v>
      </c>
      <c r="K12" s="174"/>
      <c r="L12" s="174"/>
      <c r="M12" s="175">
        <v>500</v>
      </c>
      <c r="N12" s="176" t="s">
        <v>690</v>
      </c>
      <c r="O12" s="174">
        <v>0.52</v>
      </c>
      <c r="P12" s="174"/>
      <c r="Q12" s="172" t="s">
        <v>92</v>
      </c>
      <c r="R12" s="172" t="s">
        <v>364</v>
      </c>
      <c r="S12" s="177">
        <v>45</v>
      </c>
      <c r="T12" s="172"/>
      <c r="U12" s="172"/>
      <c r="V12" s="178">
        <v>0.93</v>
      </c>
      <c r="W12" s="174">
        <v>802</v>
      </c>
      <c r="X12" s="179">
        <v>0.137</v>
      </c>
      <c r="Y12" s="173">
        <v>10</v>
      </c>
      <c r="Z12" s="175" t="s">
        <v>365</v>
      </c>
      <c r="AA12" s="177" t="s">
        <v>91</v>
      </c>
      <c r="AB12" s="196" t="s">
        <v>222</v>
      </c>
    </row>
    <row r="13" spans="1:28" ht="12.75">
      <c r="A13" s="195" t="s">
        <v>88</v>
      </c>
      <c r="B13" s="173">
        <v>3681</v>
      </c>
      <c r="C13" s="172" t="s">
        <v>317</v>
      </c>
      <c r="D13" s="173">
        <v>30301580</v>
      </c>
      <c r="E13" s="172" t="s">
        <v>318</v>
      </c>
      <c r="F13" s="174" t="s">
        <v>114</v>
      </c>
      <c r="G13" s="173">
        <v>0</v>
      </c>
      <c r="H13" s="172" t="s">
        <v>367</v>
      </c>
      <c r="I13" s="174">
        <v>374.7</v>
      </c>
      <c r="J13" s="172" t="s">
        <v>363</v>
      </c>
      <c r="K13" s="174"/>
      <c r="L13" s="174"/>
      <c r="M13" s="175">
        <v>1000</v>
      </c>
      <c r="N13" s="176" t="s">
        <v>690</v>
      </c>
      <c r="O13" s="174" t="s">
        <v>91</v>
      </c>
      <c r="P13" s="174"/>
      <c r="Q13" s="172" t="s">
        <v>92</v>
      </c>
      <c r="R13" s="172"/>
      <c r="S13" s="177"/>
      <c r="T13" s="172"/>
      <c r="U13" s="172"/>
      <c r="V13" s="178"/>
      <c r="W13" s="180">
        <f>Z13*I13/2000</f>
        <v>0.11241</v>
      </c>
      <c r="X13" s="179"/>
      <c r="Y13" s="173">
        <v>2</v>
      </c>
      <c r="Z13" s="175">
        <v>0.6</v>
      </c>
      <c r="AA13" s="176" t="s">
        <v>700</v>
      </c>
      <c r="AB13" s="196" t="s">
        <v>366</v>
      </c>
    </row>
    <row r="14" spans="1:28" ht="12.75">
      <c r="A14" s="195" t="s">
        <v>88</v>
      </c>
      <c r="B14" s="173">
        <v>4212</v>
      </c>
      <c r="C14" s="172" t="s">
        <v>319</v>
      </c>
      <c r="D14" s="173">
        <v>30301581</v>
      </c>
      <c r="E14" s="172" t="s">
        <v>320</v>
      </c>
      <c r="F14" s="174" t="s">
        <v>114</v>
      </c>
      <c r="G14" s="173">
        <v>13</v>
      </c>
      <c r="H14" s="172" t="s">
        <v>206</v>
      </c>
      <c r="I14" s="174">
        <v>652</v>
      </c>
      <c r="J14" s="172" t="s">
        <v>368</v>
      </c>
      <c r="K14" s="174"/>
      <c r="L14" s="174"/>
      <c r="M14" s="175">
        <v>1000</v>
      </c>
      <c r="N14" s="176" t="s">
        <v>690</v>
      </c>
      <c r="O14" s="174" t="s">
        <v>91</v>
      </c>
      <c r="P14" s="174"/>
      <c r="Q14" s="172" t="s">
        <v>92</v>
      </c>
      <c r="R14" s="172"/>
      <c r="S14" s="177"/>
      <c r="T14" s="172"/>
      <c r="U14" s="172"/>
      <c r="V14" s="178"/>
      <c r="W14" s="174">
        <f>Z14*I14*M14/2000</f>
        <v>3.586</v>
      </c>
      <c r="X14" s="179"/>
      <c r="Y14" s="173">
        <v>3</v>
      </c>
      <c r="Z14" s="175">
        <v>0.011</v>
      </c>
      <c r="AA14" s="176" t="s">
        <v>701</v>
      </c>
      <c r="AB14" s="196" t="s">
        <v>369</v>
      </c>
    </row>
    <row r="15" spans="1:28" ht="12.75">
      <c r="A15" s="195" t="s">
        <v>88</v>
      </c>
      <c r="B15" s="173">
        <v>4213</v>
      </c>
      <c r="C15" s="172" t="s">
        <v>321</v>
      </c>
      <c r="D15" s="173">
        <v>30301581</v>
      </c>
      <c r="E15" s="172" t="s">
        <v>320</v>
      </c>
      <c r="F15" s="174" t="s">
        <v>114</v>
      </c>
      <c r="G15" s="173">
        <v>14</v>
      </c>
      <c r="H15" s="172" t="s">
        <v>322</v>
      </c>
      <c r="I15" s="174">
        <v>17022</v>
      </c>
      <c r="J15" s="172" t="s">
        <v>368</v>
      </c>
      <c r="K15" s="174"/>
      <c r="L15" s="174"/>
      <c r="M15" s="175">
        <v>75</v>
      </c>
      <c r="N15" s="176" t="s">
        <v>690</v>
      </c>
      <c r="O15" s="174" t="s">
        <v>91</v>
      </c>
      <c r="P15" s="174"/>
      <c r="Q15" s="172" t="s">
        <v>92</v>
      </c>
      <c r="R15" s="172"/>
      <c r="S15" s="177"/>
      <c r="T15" s="172"/>
      <c r="U15" s="172"/>
      <c r="V15" s="178"/>
      <c r="W15" s="174">
        <f>Z15*I15*M15/2000</f>
        <v>7.0215749999999995</v>
      </c>
      <c r="X15" s="179"/>
      <c r="Y15" s="173">
        <v>3</v>
      </c>
      <c r="Z15" s="175">
        <v>0.011</v>
      </c>
      <c r="AA15" s="176" t="s">
        <v>701</v>
      </c>
      <c r="AB15" s="196" t="s">
        <v>369</v>
      </c>
    </row>
    <row r="16" spans="1:28" ht="12.75">
      <c r="A16" s="195" t="s">
        <v>88</v>
      </c>
      <c r="B16" s="173">
        <v>4214</v>
      </c>
      <c r="C16" s="172" t="s">
        <v>323</v>
      </c>
      <c r="D16" s="173">
        <v>30301580</v>
      </c>
      <c r="E16" s="172" t="s">
        <v>324</v>
      </c>
      <c r="F16" s="174" t="s">
        <v>114</v>
      </c>
      <c r="G16" s="173">
        <v>0</v>
      </c>
      <c r="H16" s="172" t="s">
        <v>206</v>
      </c>
      <c r="I16" s="174">
        <v>51</v>
      </c>
      <c r="J16" s="172" t="s">
        <v>368</v>
      </c>
      <c r="K16" s="174"/>
      <c r="L16" s="174"/>
      <c r="M16" s="175">
        <v>1000</v>
      </c>
      <c r="N16" s="176" t="s">
        <v>690</v>
      </c>
      <c r="O16" s="174" t="s">
        <v>91</v>
      </c>
      <c r="P16" s="174"/>
      <c r="Q16" s="172" t="s">
        <v>92</v>
      </c>
      <c r="R16" s="172"/>
      <c r="S16" s="177"/>
      <c r="T16" s="172"/>
      <c r="U16" s="172"/>
      <c r="V16" s="178"/>
      <c r="W16" s="174">
        <f>Z16*I16/2000</f>
        <v>0.0153</v>
      </c>
      <c r="X16" s="179"/>
      <c r="Y16" s="173">
        <v>3</v>
      </c>
      <c r="Z16" s="175">
        <v>0.6</v>
      </c>
      <c r="AA16" s="176" t="s">
        <v>125</v>
      </c>
      <c r="AB16" s="196" t="s">
        <v>366</v>
      </c>
    </row>
    <row r="17" spans="1:28" ht="12.75">
      <c r="A17" s="195" t="s">
        <v>88</v>
      </c>
      <c r="B17" s="173">
        <v>4216</v>
      </c>
      <c r="C17" s="172" t="s">
        <v>325</v>
      </c>
      <c r="D17" s="173">
        <v>10200602</v>
      </c>
      <c r="E17" s="172" t="s">
        <v>326</v>
      </c>
      <c r="F17" s="174" t="s">
        <v>115</v>
      </c>
      <c r="G17" s="173">
        <v>1590</v>
      </c>
      <c r="H17" s="172" t="s">
        <v>206</v>
      </c>
      <c r="I17" s="174">
        <v>434</v>
      </c>
      <c r="J17" s="172" t="s">
        <v>368</v>
      </c>
      <c r="K17" s="174"/>
      <c r="L17" s="174"/>
      <c r="M17" s="175">
        <v>1000</v>
      </c>
      <c r="N17" s="176" t="s">
        <v>690</v>
      </c>
      <c r="O17" s="174" t="s">
        <v>91</v>
      </c>
      <c r="P17" s="174"/>
      <c r="Q17" s="172" t="s">
        <v>92</v>
      </c>
      <c r="R17" s="172"/>
      <c r="S17" s="177"/>
      <c r="T17" s="172"/>
      <c r="U17" s="172"/>
      <c r="V17" s="178"/>
      <c r="W17" s="174">
        <f>Z17*I17*M17/2000</f>
        <v>0.13019999999999998</v>
      </c>
      <c r="X17" s="179"/>
      <c r="Y17" s="173">
        <v>3</v>
      </c>
      <c r="Z17" s="175">
        <v>0.0006</v>
      </c>
      <c r="AA17" s="177" t="s">
        <v>701</v>
      </c>
      <c r="AB17" s="196" t="s">
        <v>370</v>
      </c>
    </row>
    <row r="18" spans="1:28" ht="12.75">
      <c r="A18" s="195" t="s">
        <v>88</v>
      </c>
      <c r="B18" s="173">
        <v>4217</v>
      </c>
      <c r="C18" s="172" t="s">
        <v>327</v>
      </c>
      <c r="D18" s="173">
        <v>10200602</v>
      </c>
      <c r="E18" s="172" t="s">
        <v>328</v>
      </c>
      <c r="F18" s="174" t="s">
        <v>115</v>
      </c>
      <c r="G18" s="173">
        <v>1591</v>
      </c>
      <c r="H18" s="172" t="s">
        <v>206</v>
      </c>
      <c r="I18" s="174">
        <v>534</v>
      </c>
      <c r="J18" s="172" t="s">
        <v>368</v>
      </c>
      <c r="K18" s="174"/>
      <c r="L18" s="174"/>
      <c r="M18" s="175">
        <v>1000</v>
      </c>
      <c r="N18" s="176" t="s">
        <v>690</v>
      </c>
      <c r="O18" s="174" t="s">
        <v>91</v>
      </c>
      <c r="P18" s="174"/>
      <c r="Q18" s="172" t="s">
        <v>92</v>
      </c>
      <c r="R18" s="172"/>
      <c r="S18" s="177"/>
      <c r="T18" s="172"/>
      <c r="U18" s="172"/>
      <c r="V18" s="178"/>
      <c r="W18" s="174">
        <f>Z18*I18*M18/2000</f>
        <v>0.16019999999999998</v>
      </c>
      <c r="X18" s="179"/>
      <c r="Y18" s="173">
        <v>3</v>
      </c>
      <c r="Z18" s="175">
        <v>0.0006</v>
      </c>
      <c r="AA18" s="177" t="s">
        <v>701</v>
      </c>
      <c r="AB18" s="196" t="s">
        <v>370</v>
      </c>
    </row>
    <row r="19" spans="1:28" ht="12.75">
      <c r="A19" s="195" t="s">
        <v>88</v>
      </c>
      <c r="B19" s="173">
        <v>4218</v>
      </c>
      <c r="C19" s="172" t="s">
        <v>329</v>
      </c>
      <c r="D19" s="173">
        <v>10200602</v>
      </c>
      <c r="E19" s="172" t="s">
        <v>330</v>
      </c>
      <c r="F19" s="174" t="s">
        <v>114</v>
      </c>
      <c r="G19" s="173">
        <v>1611</v>
      </c>
      <c r="H19" s="172" t="s">
        <v>206</v>
      </c>
      <c r="I19" s="174">
        <v>1768</v>
      </c>
      <c r="J19" s="172" t="s">
        <v>368</v>
      </c>
      <c r="K19" s="181"/>
      <c r="L19" s="174"/>
      <c r="M19" s="175">
        <v>1000</v>
      </c>
      <c r="N19" s="176" t="s">
        <v>690</v>
      </c>
      <c r="O19" s="174" t="s">
        <v>91</v>
      </c>
      <c r="P19" s="174"/>
      <c r="Q19" s="172" t="s">
        <v>92</v>
      </c>
      <c r="R19" s="172"/>
      <c r="S19" s="177"/>
      <c r="T19" s="172"/>
      <c r="U19" s="172"/>
      <c r="V19" s="178"/>
      <c r="W19" s="174">
        <f>Z19*I19*M18/2000</f>
        <v>0.5304</v>
      </c>
      <c r="X19" s="179"/>
      <c r="Y19" s="173">
        <v>3</v>
      </c>
      <c r="Z19" s="175">
        <v>0.0006</v>
      </c>
      <c r="AA19" s="177" t="s">
        <v>701</v>
      </c>
      <c r="AB19" s="196" t="s">
        <v>371</v>
      </c>
    </row>
    <row r="20" spans="1:28" ht="12.75">
      <c r="A20" s="195" t="s">
        <v>88</v>
      </c>
      <c r="B20" s="173">
        <v>4219</v>
      </c>
      <c r="C20" s="172" t="s">
        <v>331</v>
      </c>
      <c r="D20" s="173">
        <v>10200707</v>
      </c>
      <c r="E20" s="172" t="s">
        <v>330</v>
      </c>
      <c r="F20" s="174" t="s">
        <v>114</v>
      </c>
      <c r="G20" s="173">
        <v>1611</v>
      </c>
      <c r="H20" s="172" t="s">
        <v>316</v>
      </c>
      <c r="I20" s="174">
        <v>2243</v>
      </c>
      <c r="J20" s="172" t="s">
        <v>368</v>
      </c>
      <c r="K20" s="174"/>
      <c r="L20" s="174"/>
      <c r="M20" s="175">
        <v>500</v>
      </c>
      <c r="N20" s="176" t="s">
        <v>690</v>
      </c>
      <c r="O20" s="174">
        <v>0.52</v>
      </c>
      <c r="P20" s="174"/>
      <c r="Q20" s="172" t="s">
        <v>92</v>
      </c>
      <c r="R20" s="172"/>
      <c r="S20" s="177"/>
      <c r="T20" s="172"/>
      <c r="U20" s="172"/>
      <c r="V20" s="178"/>
      <c r="W20" s="174">
        <v>0</v>
      </c>
      <c r="X20" s="179"/>
      <c r="Y20" s="173" t="s">
        <v>91</v>
      </c>
      <c r="Z20" s="175"/>
      <c r="AA20" s="177"/>
      <c r="AB20" s="196" t="s">
        <v>372</v>
      </c>
    </row>
    <row r="21" spans="1:28" ht="12.75">
      <c r="A21" s="195" t="s">
        <v>88</v>
      </c>
      <c r="B21" s="173">
        <v>4220</v>
      </c>
      <c r="C21" s="172" t="s">
        <v>332</v>
      </c>
      <c r="D21" s="173">
        <v>10200704</v>
      </c>
      <c r="E21" s="172" t="s">
        <v>330</v>
      </c>
      <c r="F21" s="174" t="s">
        <v>114</v>
      </c>
      <c r="G21" s="173">
        <v>1611</v>
      </c>
      <c r="H21" s="172" t="s">
        <v>322</v>
      </c>
      <c r="I21" s="174">
        <v>58495</v>
      </c>
      <c r="J21" s="172" t="s">
        <v>368</v>
      </c>
      <c r="K21" s="174"/>
      <c r="L21" s="174"/>
      <c r="M21" s="175">
        <v>75</v>
      </c>
      <c r="N21" s="176" t="s">
        <v>690</v>
      </c>
      <c r="O21" s="174" t="s">
        <v>91</v>
      </c>
      <c r="P21" s="174"/>
      <c r="Q21" s="172" t="s">
        <v>92</v>
      </c>
      <c r="R21" s="172"/>
      <c r="S21" s="177"/>
      <c r="T21" s="172"/>
      <c r="U21" s="172"/>
      <c r="V21" s="178"/>
      <c r="W21" s="174">
        <f>Z21*I21*M21/2000</f>
        <v>24.08531625</v>
      </c>
      <c r="X21" s="179"/>
      <c r="Y21" s="173">
        <v>3</v>
      </c>
      <c r="Z21" s="175">
        <v>0.01098</v>
      </c>
      <c r="AA21" s="177" t="s">
        <v>701</v>
      </c>
      <c r="AB21" s="196" t="s">
        <v>373</v>
      </c>
    </row>
    <row r="22" spans="1:28" ht="12.75">
      <c r="A22" s="195" t="s">
        <v>88</v>
      </c>
      <c r="B22" s="173">
        <v>4221</v>
      </c>
      <c r="C22" s="172" t="s">
        <v>333</v>
      </c>
      <c r="D22" s="173">
        <v>10200204</v>
      </c>
      <c r="E22" s="172" t="s">
        <v>330</v>
      </c>
      <c r="F22" s="174" t="s">
        <v>114</v>
      </c>
      <c r="G22" s="173">
        <v>1612</v>
      </c>
      <c r="H22" s="172" t="s">
        <v>137</v>
      </c>
      <c r="I22" s="174">
        <v>226</v>
      </c>
      <c r="J22" s="172" t="s">
        <v>697</v>
      </c>
      <c r="K22" s="174"/>
      <c r="L22" s="174"/>
      <c r="M22" s="175">
        <v>25.5</v>
      </c>
      <c r="N22" s="176" t="s">
        <v>702</v>
      </c>
      <c r="O22" s="174">
        <v>0.5</v>
      </c>
      <c r="P22" s="174"/>
      <c r="Q22" s="172" t="s">
        <v>92</v>
      </c>
      <c r="R22" s="172"/>
      <c r="S22" s="177"/>
      <c r="T22" s="172"/>
      <c r="U22" s="172"/>
      <c r="V22" s="178"/>
      <c r="W22" s="174">
        <f>Z22*I22/2000</f>
        <v>29.483960000000003</v>
      </c>
      <c r="X22" s="179"/>
      <c r="Y22" s="173">
        <v>2</v>
      </c>
      <c r="Z22" s="175">
        <v>260.92</v>
      </c>
      <c r="AA22" s="177" t="s">
        <v>394</v>
      </c>
      <c r="AB22" s="196" t="s">
        <v>374</v>
      </c>
    </row>
    <row r="23" spans="1:28" ht="12.75">
      <c r="A23" s="195" t="s">
        <v>88</v>
      </c>
      <c r="B23" s="173">
        <v>4222</v>
      </c>
      <c r="C23" s="172" t="s">
        <v>334</v>
      </c>
      <c r="D23" s="173">
        <v>30301583</v>
      </c>
      <c r="E23" s="172" t="s">
        <v>335</v>
      </c>
      <c r="F23" s="174" t="s">
        <v>114</v>
      </c>
      <c r="G23" s="173">
        <v>1600</v>
      </c>
      <c r="H23" s="172" t="s">
        <v>206</v>
      </c>
      <c r="I23" s="174">
        <v>492</v>
      </c>
      <c r="J23" s="172" t="s">
        <v>368</v>
      </c>
      <c r="K23" s="174"/>
      <c r="L23" s="174"/>
      <c r="M23" s="175">
        <v>1000</v>
      </c>
      <c r="N23" s="176" t="s">
        <v>690</v>
      </c>
      <c r="O23" s="174" t="s">
        <v>91</v>
      </c>
      <c r="P23" s="174"/>
      <c r="Q23" s="172" t="s">
        <v>92</v>
      </c>
      <c r="R23" s="172"/>
      <c r="S23" s="177"/>
      <c r="T23" s="172"/>
      <c r="U23" s="172"/>
      <c r="V23" s="178"/>
      <c r="W23" s="174">
        <f>Z23*I23*M23/2000</f>
        <v>0.14759999999999998</v>
      </c>
      <c r="X23" s="179"/>
      <c r="Y23" s="173">
        <v>2</v>
      </c>
      <c r="Z23" s="175">
        <v>0.0006</v>
      </c>
      <c r="AA23" s="176" t="s">
        <v>701</v>
      </c>
      <c r="AB23" s="196" t="s">
        <v>376</v>
      </c>
    </row>
    <row r="24" spans="1:28" ht="12.75">
      <c r="A24" s="195" t="s">
        <v>88</v>
      </c>
      <c r="B24" s="173">
        <v>4223</v>
      </c>
      <c r="C24" s="172" t="s">
        <v>336</v>
      </c>
      <c r="D24" s="173">
        <v>30301583</v>
      </c>
      <c r="E24" s="172" t="s">
        <v>335</v>
      </c>
      <c r="F24" s="174" t="s">
        <v>114</v>
      </c>
      <c r="G24" s="173">
        <v>1600</v>
      </c>
      <c r="H24" s="172" t="s">
        <v>316</v>
      </c>
      <c r="I24" s="174">
        <v>711</v>
      </c>
      <c r="J24" s="172" t="s">
        <v>368</v>
      </c>
      <c r="K24" s="174"/>
      <c r="L24" s="174"/>
      <c r="M24" s="175">
        <v>500</v>
      </c>
      <c r="N24" s="176" t="s">
        <v>690</v>
      </c>
      <c r="O24" s="174">
        <v>0.52</v>
      </c>
      <c r="P24" s="174"/>
      <c r="Q24" s="172" t="s">
        <v>92</v>
      </c>
      <c r="R24" s="172"/>
      <c r="S24" s="177"/>
      <c r="T24" s="172"/>
      <c r="U24" s="172"/>
      <c r="V24" s="178"/>
      <c r="W24" s="174">
        <f>Z25*I24/2000</f>
        <v>0.00021329999999999998</v>
      </c>
      <c r="X24" s="179"/>
      <c r="Y24" s="173" t="s">
        <v>91</v>
      </c>
      <c r="Z24" s="175" t="s">
        <v>91</v>
      </c>
      <c r="AA24" s="177"/>
      <c r="AB24" s="196" t="s">
        <v>372</v>
      </c>
    </row>
    <row r="25" spans="1:28" ht="12.75">
      <c r="A25" s="195" t="s">
        <v>88</v>
      </c>
      <c r="B25" s="173">
        <v>4224</v>
      </c>
      <c r="C25" s="172" t="s">
        <v>337</v>
      </c>
      <c r="D25" s="173">
        <v>30301584</v>
      </c>
      <c r="E25" s="172" t="s">
        <v>338</v>
      </c>
      <c r="F25" s="174" t="s">
        <v>114</v>
      </c>
      <c r="G25" s="173">
        <v>1608</v>
      </c>
      <c r="H25" s="172" t="s">
        <v>206</v>
      </c>
      <c r="I25" s="174">
        <v>2149</v>
      </c>
      <c r="J25" s="172" t="s">
        <v>368</v>
      </c>
      <c r="K25" s="174"/>
      <c r="L25" s="174"/>
      <c r="M25" s="175">
        <v>1000</v>
      </c>
      <c r="N25" s="176" t="s">
        <v>690</v>
      </c>
      <c r="O25" s="174" t="s">
        <v>91</v>
      </c>
      <c r="P25" s="174"/>
      <c r="Q25" s="172" t="s">
        <v>92</v>
      </c>
      <c r="R25" s="172"/>
      <c r="S25" s="177"/>
      <c r="T25" s="172"/>
      <c r="U25" s="172"/>
      <c r="V25" s="178"/>
      <c r="W25" s="174">
        <f>Z25*I25*M25/2000</f>
        <v>0.6446999999999999</v>
      </c>
      <c r="X25" s="179"/>
      <c r="Y25" s="173">
        <v>2</v>
      </c>
      <c r="Z25" s="175">
        <v>0.0006</v>
      </c>
      <c r="AA25" s="177" t="s">
        <v>701</v>
      </c>
      <c r="AB25" s="196" t="s">
        <v>376</v>
      </c>
    </row>
    <row r="26" spans="1:28" ht="12.75">
      <c r="A26" s="195" t="s">
        <v>88</v>
      </c>
      <c r="B26" s="173">
        <v>4225</v>
      </c>
      <c r="C26" s="172" t="s">
        <v>339</v>
      </c>
      <c r="D26" s="173">
        <v>30301584</v>
      </c>
      <c r="E26" s="172" t="s">
        <v>340</v>
      </c>
      <c r="F26" s="174" t="s">
        <v>114</v>
      </c>
      <c r="G26" s="173">
        <v>1608</v>
      </c>
      <c r="H26" s="172" t="s">
        <v>316</v>
      </c>
      <c r="I26" s="174">
        <v>3099</v>
      </c>
      <c r="J26" s="172" t="s">
        <v>368</v>
      </c>
      <c r="K26" s="174"/>
      <c r="L26" s="174"/>
      <c r="M26" s="175">
        <v>500</v>
      </c>
      <c r="N26" s="176" t="s">
        <v>690</v>
      </c>
      <c r="O26" s="174">
        <v>0.52</v>
      </c>
      <c r="P26" s="174"/>
      <c r="Q26" s="172" t="s">
        <v>92</v>
      </c>
      <c r="R26" s="172"/>
      <c r="S26" s="177"/>
      <c r="T26" s="172"/>
      <c r="U26" s="172"/>
      <c r="V26" s="178"/>
      <c r="W26" s="174"/>
      <c r="X26" s="179"/>
      <c r="Y26" s="173" t="s">
        <v>91</v>
      </c>
      <c r="Z26" s="175" t="s">
        <v>91</v>
      </c>
      <c r="AA26" s="177"/>
      <c r="AB26" s="196" t="s">
        <v>372</v>
      </c>
    </row>
    <row r="27" spans="1:28" ht="12.75">
      <c r="A27" s="195" t="s">
        <v>88</v>
      </c>
      <c r="B27" s="173">
        <v>4226</v>
      </c>
      <c r="C27" s="172" t="s">
        <v>341</v>
      </c>
      <c r="D27" s="173">
        <v>30301584</v>
      </c>
      <c r="E27" s="172" t="s">
        <v>340</v>
      </c>
      <c r="F27" s="174" t="s">
        <v>114</v>
      </c>
      <c r="G27" s="173">
        <v>1608</v>
      </c>
      <c r="H27" s="172" t="s">
        <v>342</v>
      </c>
      <c r="I27" s="174">
        <v>0</v>
      </c>
      <c r="J27" s="172" t="s">
        <v>573</v>
      </c>
      <c r="K27" s="174"/>
      <c r="L27" s="174"/>
      <c r="M27" s="175">
        <v>0</v>
      </c>
      <c r="N27" s="176" t="s">
        <v>703</v>
      </c>
      <c r="O27" s="174">
        <v>0.5</v>
      </c>
      <c r="P27" s="174"/>
      <c r="Q27" s="172" t="s">
        <v>92</v>
      </c>
      <c r="R27" s="172"/>
      <c r="S27" s="177"/>
      <c r="T27" s="172"/>
      <c r="U27" s="172"/>
      <c r="V27" s="178"/>
      <c r="W27" s="174">
        <f>Z27*I27/2000</f>
        <v>0</v>
      </c>
      <c r="X27" s="179"/>
      <c r="Y27" s="173">
        <v>3</v>
      </c>
      <c r="Z27" s="175">
        <v>62.02</v>
      </c>
      <c r="AA27" s="177" t="s">
        <v>699</v>
      </c>
      <c r="AB27" s="196" t="s">
        <v>377</v>
      </c>
    </row>
    <row r="28" spans="1:28" ht="12.75">
      <c r="A28" s="195" t="s">
        <v>105</v>
      </c>
      <c r="B28" s="173">
        <v>5001</v>
      </c>
      <c r="C28" s="172" t="s">
        <v>343</v>
      </c>
      <c r="D28" s="173">
        <v>30300302</v>
      </c>
      <c r="E28" s="172" t="s">
        <v>344</v>
      </c>
      <c r="F28" s="174" t="s">
        <v>114</v>
      </c>
      <c r="G28" s="173">
        <v>0</v>
      </c>
      <c r="H28" s="172" t="s">
        <v>154</v>
      </c>
      <c r="I28" s="174">
        <v>755988</v>
      </c>
      <c r="J28" s="172" t="s">
        <v>627</v>
      </c>
      <c r="K28" s="174"/>
      <c r="L28" s="174"/>
      <c r="M28" s="175">
        <v>0</v>
      </c>
      <c r="N28" s="176" t="s">
        <v>133</v>
      </c>
      <c r="O28" s="174">
        <v>0</v>
      </c>
      <c r="P28" s="174"/>
      <c r="Q28" s="172" t="s">
        <v>92</v>
      </c>
      <c r="R28" s="172"/>
      <c r="S28" s="177"/>
      <c r="T28" s="172"/>
      <c r="U28" s="172"/>
      <c r="V28" s="178"/>
      <c r="W28" s="174">
        <f>Z28*I28/2000</f>
        <v>0.2645958</v>
      </c>
      <c r="X28" s="179"/>
      <c r="Y28" s="173">
        <v>3</v>
      </c>
      <c r="Z28" s="175">
        <v>0.0007</v>
      </c>
      <c r="AA28" s="176" t="s">
        <v>592</v>
      </c>
      <c r="AB28" s="196" t="s">
        <v>378</v>
      </c>
    </row>
    <row r="29" spans="1:28" ht="12.75">
      <c r="A29" s="195" t="s">
        <v>105</v>
      </c>
      <c r="B29" s="173">
        <v>5002</v>
      </c>
      <c r="C29" s="172" t="s">
        <v>345</v>
      </c>
      <c r="D29" s="173">
        <v>30300308</v>
      </c>
      <c r="E29" s="172" t="s">
        <v>346</v>
      </c>
      <c r="F29" s="174" t="s">
        <v>114</v>
      </c>
      <c r="G29" s="173">
        <v>0</v>
      </c>
      <c r="H29" s="172" t="s">
        <v>154</v>
      </c>
      <c r="I29" s="174">
        <v>755988</v>
      </c>
      <c r="J29" s="172" t="s">
        <v>627</v>
      </c>
      <c r="K29" s="174"/>
      <c r="L29" s="174"/>
      <c r="M29" s="175">
        <v>0</v>
      </c>
      <c r="N29" s="176" t="s">
        <v>133</v>
      </c>
      <c r="O29" s="174">
        <v>0</v>
      </c>
      <c r="P29" s="174"/>
      <c r="Q29" s="172" t="s">
        <v>92</v>
      </c>
      <c r="R29" s="172"/>
      <c r="S29" s="177"/>
      <c r="T29" s="172"/>
      <c r="U29" s="172"/>
      <c r="V29" s="178"/>
      <c r="W29" s="174"/>
      <c r="X29" s="179" t="s">
        <v>91</v>
      </c>
      <c r="Y29" s="173" t="s">
        <v>91</v>
      </c>
      <c r="Z29" s="175"/>
      <c r="AA29" s="176"/>
      <c r="AB29" s="196" t="s">
        <v>379</v>
      </c>
    </row>
    <row r="30" spans="1:28" ht="12.75">
      <c r="A30" s="195" t="s">
        <v>88</v>
      </c>
      <c r="B30" s="173">
        <v>8201</v>
      </c>
      <c r="C30" s="172" t="s">
        <v>347</v>
      </c>
      <c r="D30" s="173">
        <v>30301580</v>
      </c>
      <c r="E30" s="172" t="s">
        <v>348</v>
      </c>
      <c r="F30" s="174" t="s">
        <v>114</v>
      </c>
      <c r="G30" s="173">
        <v>0</v>
      </c>
      <c r="H30" s="172" t="s">
        <v>206</v>
      </c>
      <c r="I30" s="174">
        <v>352</v>
      </c>
      <c r="J30" s="172" t="s">
        <v>368</v>
      </c>
      <c r="K30" s="174"/>
      <c r="L30" s="174"/>
      <c r="M30" s="175">
        <v>1000</v>
      </c>
      <c r="N30" s="176" t="s">
        <v>690</v>
      </c>
      <c r="O30" s="174">
        <v>0</v>
      </c>
      <c r="P30" s="174"/>
      <c r="Q30" s="172" t="s">
        <v>92</v>
      </c>
      <c r="R30" s="172"/>
      <c r="S30" s="177"/>
      <c r="T30" s="172"/>
      <c r="U30" s="172"/>
      <c r="V30" s="178"/>
      <c r="W30" s="174">
        <f>Z31*I30/2000</f>
        <v>0.1056</v>
      </c>
      <c r="X30" s="179"/>
      <c r="Y30" s="173">
        <v>3</v>
      </c>
      <c r="Z30" s="175">
        <v>0.6</v>
      </c>
      <c r="AA30" s="176" t="s">
        <v>209</v>
      </c>
      <c r="AB30" s="196" t="s">
        <v>380</v>
      </c>
    </row>
    <row r="31" spans="1:28" ht="12.75">
      <c r="A31" s="195" t="s">
        <v>88</v>
      </c>
      <c r="B31" s="173">
        <v>8202</v>
      </c>
      <c r="C31" s="172" t="s">
        <v>349</v>
      </c>
      <c r="D31" s="173">
        <v>30301580</v>
      </c>
      <c r="E31" s="172" t="s">
        <v>350</v>
      </c>
      <c r="F31" s="174" t="s">
        <v>114</v>
      </c>
      <c r="G31" s="173">
        <v>0</v>
      </c>
      <c r="H31" s="172" t="s">
        <v>206</v>
      </c>
      <c r="I31" s="174">
        <v>290</v>
      </c>
      <c r="J31" s="172" t="s">
        <v>368</v>
      </c>
      <c r="K31" s="174"/>
      <c r="L31" s="174"/>
      <c r="M31" s="175">
        <v>1000</v>
      </c>
      <c r="N31" s="176" t="s">
        <v>690</v>
      </c>
      <c r="O31" s="174">
        <v>0</v>
      </c>
      <c r="P31" s="174"/>
      <c r="Q31" s="172" t="s">
        <v>92</v>
      </c>
      <c r="R31" s="172"/>
      <c r="S31" s="177"/>
      <c r="T31" s="172"/>
      <c r="U31" s="172"/>
      <c r="V31" s="178"/>
      <c r="W31" s="174">
        <f>Z31*I31/2000</f>
        <v>0.087</v>
      </c>
      <c r="X31" s="179"/>
      <c r="Y31" s="173">
        <v>3</v>
      </c>
      <c r="Z31" s="175">
        <v>0.6</v>
      </c>
      <c r="AA31" s="177" t="s">
        <v>209</v>
      </c>
      <c r="AB31" s="196" t="s">
        <v>380</v>
      </c>
    </row>
    <row r="32" spans="1:28" ht="12.75">
      <c r="A32" s="195" t="s">
        <v>88</v>
      </c>
      <c r="B32" s="173">
        <v>13776</v>
      </c>
      <c r="C32" s="172" t="s">
        <v>351</v>
      </c>
      <c r="D32" s="173">
        <v>10200402</v>
      </c>
      <c r="E32" s="172" t="s">
        <v>352</v>
      </c>
      <c r="F32" s="174" t="s">
        <v>115</v>
      </c>
      <c r="G32" s="173">
        <v>1590</v>
      </c>
      <c r="H32" s="172" t="s">
        <v>353</v>
      </c>
      <c r="I32" s="174">
        <v>0.59</v>
      </c>
      <c r="J32" s="172" t="s">
        <v>802</v>
      </c>
      <c r="K32" s="174"/>
      <c r="L32" s="174"/>
      <c r="M32" s="175">
        <v>150000</v>
      </c>
      <c r="N32" s="176" t="s">
        <v>123</v>
      </c>
      <c r="O32" s="174">
        <v>0.5</v>
      </c>
      <c r="P32" s="174"/>
      <c r="Q32" s="172" t="s">
        <v>92</v>
      </c>
      <c r="R32" s="172"/>
      <c r="S32" s="177"/>
      <c r="T32" s="172"/>
      <c r="U32" s="172"/>
      <c r="V32" s="178"/>
      <c r="W32" s="174">
        <f>Z33*I32/2000</f>
        <v>0.0182959</v>
      </c>
      <c r="X32" s="179"/>
      <c r="Y32" s="173">
        <v>1</v>
      </c>
      <c r="Z32" s="175">
        <v>62.02</v>
      </c>
      <c r="AA32" s="177" t="s">
        <v>699</v>
      </c>
      <c r="AB32" s="196" t="s">
        <v>377</v>
      </c>
    </row>
    <row r="33" spans="1:28" ht="12.75">
      <c r="A33" s="195" t="s">
        <v>88</v>
      </c>
      <c r="B33" s="173">
        <v>13777</v>
      </c>
      <c r="C33" s="172" t="s">
        <v>354</v>
      </c>
      <c r="D33" s="173">
        <v>10200402</v>
      </c>
      <c r="E33" s="172" t="s">
        <v>355</v>
      </c>
      <c r="F33" s="174" t="s">
        <v>115</v>
      </c>
      <c r="G33" s="173"/>
      <c r="H33" s="172" t="s">
        <v>342</v>
      </c>
      <c r="I33" s="174">
        <v>0.3</v>
      </c>
      <c r="J33" s="172" t="s">
        <v>802</v>
      </c>
      <c r="K33" s="174"/>
      <c r="L33" s="174"/>
      <c r="M33" s="175">
        <v>150000</v>
      </c>
      <c r="N33" s="176" t="s">
        <v>123</v>
      </c>
      <c r="O33" s="174">
        <v>0.5</v>
      </c>
      <c r="P33" s="174"/>
      <c r="Q33" s="172" t="s">
        <v>92</v>
      </c>
      <c r="R33" s="172"/>
      <c r="S33" s="177"/>
      <c r="T33" s="172"/>
      <c r="U33" s="172"/>
      <c r="V33" s="178"/>
      <c r="W33" s="174">
        <f>Z33*I33/2000</f>
        <v>0.009303</v>
      </c>
      <c r="X33" s="179"/>
      <c r="Y33" s="173">
        <v>1</v>
      </c>
      <c r="Z33" s="175">
        <v>62.02</v>
      </c>
      <c r="AA33" s="177" t="s">
        <v>699</v>
      </c>
      <c r="AB33" s="196" t="s">
        <v>377</v>
      </c>
    </row>
    <row r="34" spans="1:28" ht="12.75">
      <c r="A34" s="195" t="s">
        <v>88</v>
      </c>
      <c r="B34" s="173">
        <v>15162</v>
      </c>
      <c r="C34" s="172" t="s">
        <v>356</v>
      </c>
      <c r="D34" s="173">
        <v>30400301</v>
      </c>
      <c r="E34" s="172" t="s">
        <v>357</v>
      </c>
      <c r="F34" s="174" t="s">
        <v>114</v>
      </c>
      <c r="G34" s="173">
        <v>3929</v>
      </c>
      <c r="H34" s="172" t="s">
        <v>382</v>
      </c>
      <c r="I34" s="174">
        <v>0</v>
      </c>
      <c r="J34" s="172" t="s">
        <v>698</v>
      </c>
      <c r="K34" s="174"/>
      <c r="L34" s="174"/>
      <c r="M34" s="175">
        <v>0</v>
      </c>
      <c r="N34" s="176" t="s">
        <v>133</v>
      </c>
      <c r="O34" s="174">
        <v>0</v>
      </c>
      <c r="P34" s="174"/>
      <c r="Q34" s="172" t="s">
        <v>92</v>
      </c>
      <c r="R34" s="172"/>
      <c r="S34" s="177"/>
      <c r="T34" s="172"/>
      <c r="U34" s="172"/>
      <c r="V34" s="178"/>
      <c r="W34" s="174">
        <f>Z34*I34/2000</f>
        <v>0</v>
      </c>
      <c r="X34" s="179"/>
      <c r="Y34" s="173" t="s">
        <v>91</v>
      </c>
      <c r="Z34" s="175"/>
      <c r="AA34" s="177" t="s">
        <v>704</v>
      </c>
      <c r="AB34" s="196" t="s">
        <v>381</v>
      </c>
    </row>
    <row r="35" spans="1:28" ht="12.75">
      <c r="A35" s="195" t="s">
        <v>202</v>
      </c>
      <c r="B35" s="173">
        <v>15187</v>
      </c>
      <c r="C35" s="172" t="s">
        <v>358</v>
      </c>
      <c r="D35" s="173">
        <v>20200102</v>
      </c>
      <c r="E35" s="172" t="s">
        <v>359</v>
      </c>
      <c r="F35" s="174" t="s">
        <v>114</v>
      </c>
      <c r="G35" s="173">
        <v>3935</v>
      </c>
      <c r="H35" s="172" t="s">
        <v>232</v>
      </c>
      <c r="I35" s="174">
        <v>29</v>
      </c>
      <c r="J35" s="172" t="s">
        <v>697</v>
      </c>
      <c r="K35" s="174"/>
      <c r="L35" s="174"/>
      <c r="M35" s="175">
        <v>134000</v>
      </c>
      <c r="N35" s="176" t="s">
        <v>123</v>
      </c>
      <c r="O35" s="174">
        <v>0</v>
      </c>
      <c r="P35" s="174"/>
      <c r="Q35" s="172" t="s">
        <v>92</v>
      </c>
      <c r="R35" s="172"/>
      <c r="S35" s="177"/>
      <c r="T35" s="172"/>
      <c r="U35" s="172"/>
      <c r="V35" s="178"/>
      <c r="W35" s="174">
        <f>Z36*I35/2000</f>
        <v>0.041615</v>
      </c>
      <c r="X35" s="179" t="s">
        <v>91</v>
      </c>
      <c r="Y35" s="173">
        <v>2</v>
      </c>
      <c r="Z35" s="175">
        <v>1.3</v>
      </c>
      <c r="AA35" s="177" t="s">
        <v>673</v>
      </c>
      <c r="AB35" s="196" t="s">
        <v>383</v>
      </c>
    </row>
    <row r="36" spans="1:28" ht="12.75">
      <c r="A36" s="195" t="s">
        <v>202</v>
      </c>
      <c r="B36" s="173">
        <v>15188</v>
      </c>
      <c r="C36" s="172" t="s">
        <v>360</v>
      </c>
      <c r="D36" s="173">
        <v>20200102</v>
      </c>
      <c r="E36" s="172" t="s">
        <v>361</v>
      </c>
      <c r="F36" s="174" t="s">
        <v>114</v>
      </c>
      <c r="G36" s="173">
        <v>3936</v>
      </c>
      <c r="H36" s="172" t="s">
        <v>232</v>
      </c>
      <c r="I36" s="174">
        <v>4</v>
      </c>
      <c r="J36" s="172" t="s">
        <v>697</v>
      </c>
      <c r="K36" s="174"/>
      <c r="L36" s="174"/>
      <c r="M36" s="175">
        <v>134000</v>
      </c>
      <c r="N36" s="176" t="s">
        <v>123</v>
      </c>
      <c r="O36" s="174">
        <v>0</v>
      </c>
      <c r="P36" s="174"/>
      <c r="Q36" s="172" t="s">
        <v>92</v>
      </c>
      <c r="R36" s="172"/>
      <c r="S36" s="177"/>
      <c r="T36" s="172"/>
      <c r="U36" s="172"/>
      <c r="V36" s="178"/>
      <c r="W36" s="174">
        <f>Z43*I36/2000</f>
        <v>0</v>
      </c>
      <c r="X36" s="179" t="s">
        <v>91</v>
      </c>
      <c r="Y36" s="173">
        <v>2</v>
      </c>
      <c r="Z36" s="174">
        <v>2.87</v>
      </c>
      <c r="AA36" s="176" t="s">
        <v>673</v>
      </c>
      <c r="AB36" s="196" t="s">
        <v>383</v>
      </c>
    </row>
    <row r="37" spans="1:28" ht="12.75">
      <c r="A37" s="232" t="s">
        <v>787</v>
      </c>
      <c r="B37" s="467">
        <v>21567</v>
      </c>
      <c r="C37" s="72" t="s">
        <v>790</v>
      </c>
      <c r="D37" s="467">
        <v>31299999</v>
      </c>
      <c r="E37" s="72" t="s">
        <v>788</v>
      </c>
      <c r="F37" s="425" t="s">
        <v>114</v>
      </c>
      <c r="G37" s="467"/>
      <c r="H37" s="72" t="s">
        <v>232</v>
      </c>
      <c r="I37" s="72">
        <v>646</v>
      </c>
      <c r="J37" s="431" t="s">
        <v>697</v>
      </c>
      <c r="K37" s="72"/>
      <c r="L37" s="72"/>
      <c r="M37" s="467">
        <v>134000</v>
      </c>
      <c r="N37" s="72" t="s">
        <v>123</v>
      </c>
      <c r="O37" s="72">
        <v>0</v>
      </c>
      <c r="P37" s="72"/>
      <c r="Q37" s="72" t="s">
        <v>92</v>
      </c>
      <c r="R37" s="72"/>
      <c r="S37" s="467"/>
      <c r="T37" s="72"/>
      <c r="U37" s="72"/>
      <c r="V37" s="468"/>
      <c r="W37" s="469">
        <f>Z37*I37/2000</f>
        <v>0.08721000000000001</v>
      </c>
      <c r="X37" s="72"/>
      <c r="Y37" s="470">
        <v>3</v>
      </c>
      <c r="Z37" s="467">
        <v>0.27</v>
      </c>
      <c r="AA37" s="72" t="s">
        <v>394</v>
      </c>
      <c r="AB37" s="471" t="s">
        <v>804</v>
      </c>
    </row>
    <row r="38" spans="1:28" ht="12.75">
      <c r="A38" s="232" t="s">
        <v>202</v>
      </c>
      <c r="B38" s="467">
        <v>15191</v>
      </c>
      <c r="C38" s="72" t="s">
        <v>789</v>
      </c>
      <c r="D38" s="467">
        <v>20200102</v>
      </c>
      <c r="E38" s="72" t="s">
        <v>791</v>
      </c>
      <c r="F38" s="425" t="s">
        <v>114</v>
      </c>
      <c r="G38" s="467">
        <v>3939</v>
      </c>
      <c r="H38" s="72" t="s">
        <v>232</v>
      </c>
      <c r="I38" s="72">
        <v>15</v>
      </c>
      <c r="J38" s="431" t="s">
        <v>697</v>
      </c>
      <c r="K38" s="72"/>
      <c r="L38" s="72"/>
      <c r="M38" s="467">
        <v>134000</v>
      </c>
      <c r="N38" s="72" t="s">
        <v>123</v>
      </c>
      <c r="O38" s="72">
        <v>0</v>
      </c>
      <c r="P38" s="72"/>
      <c r="Q38" s="72" t="s">
        <v>92</v>
      </c>
      <c r="R38" s="72"/>
      <c r="S38" s="467"/>
      <c r="T38" s="72"/>
      <c r="U38" s="72"/>
      <c r="V38" s="468"/>
      <c r="W38" s="469">
        <f>Z38*I38/2000</f>
        <v>0.03825</v>
      </c>
      <c r="X38" s="72"/>
      <c r="Y38" s="470">
        <v>2</v>
      </c>
      <c r="Z38" s="467">
        <v>5.1</v>
      </c>
      <c r="AA38" s="72" t="s">
        <v>673</v>
      </c>
      <c r="AB38" s="471" t="s">
        <v>383</v>
      </c>
    </row>
    <row r="39" spans="1:28" ht="12.75">
      <c r="A39" s="232" t="s">
        <v>202</v>
      </c>
      <c r="B39" s="467">
        <v>15192</v>
      </c>
      <c r="C39" s="72" t="s">
        <v>792</v>
      </c>
      <c r="D39" s="467">
        <v>20200102</v>
      </c>
      <c r="E39" s="72" t="s">
        <v>794</v>
      </c>
      <c r="F39" s="425" t="s">
        <v>114</v>
      </c>
      <c r="G39" s="467">
        <v>3940</v>
      </c>
      <c r="H39" s="72" t="s">
        <v>232</v>
      </c>
      <c r="I39" s="72">
        <v>41</v>
      </c>
      <c r="J39" s="431" t="s">
        <v>697</v>
      </c>
      <c r="K39" s="72">
        <v>70</v>
      </c>
      <c r="L39" s="72" t="s">
        <v>796</v>
      </c>
      <c r="M39" s="467">
        <v>134000</v>
      </c>
      <c r="N39" s="72" t="s">
        <v>123</v>
      </c>
      <c r="O39" s="72"/>
      <c r="P39" s="72"/>
      <c r="Q39" s="72" t="s">
        <v>92</v>
      </c>
      <c r="R39" s="72"/>
      <c r="S39" s="467"/>
      <c r="T39" s="72"/>
      <c r="U39" s="72"/>
      <c r="V39" s="468"/>
      <c r="W39" s="469">
        <f>Z39*I39/2000</f>
        <v>0.10455</v>
      </c>
      <c r="X39" s="72"/>
      <c r="Y39" s="470">
        <v>2</v>
      </c>
      <c r="Z39" s="467">
        <v>5.1</v>
      </c>
      <c r="AA39" s="72" t="s">
        <v>673</v>
      </c>
      <c r="AB39" s="471" t="s">
        <v>383</v>
      </c>
    </row>
    <row r="40" spans="1:28" ht="12.75">
      <c r="A40" s="232" t="s">
        <v>202</v>
      </c>
      <c r="B40" s="467">
        <v>15193</v>
      </c>
      <c r="C40" s="72" t="s">
        <v>793</v>
      </c>
      <c r="D40" s="467">
        <v>20200102</v>
      </c>
      <c r="E40" s="72" t="s">
        <v>795</v>
      </c>
      <c r="F40" s="425" t="s">
        <v>114</v>
      </c>
      <c r="G40" s="467">
        <v>3941</v>
      </c>
      <c r="H40" s="72" t="s">
        <v>232</v>
      </c>
      <c r="I40" s="72">
        <v>36</v>
      </c>
      <c r="J40" s="431" t="s">
        <v>697</v>
      </c>
      <c r="K40" s="72">
        <v>70</v>
      </c>
      <c r="L40" s="72" t="s">
        <v>796</v>
      </c>
      <c r="M40" s="467">
        <v>132000</v>
      </c>
      <c r="N40" s="72" t="s">
        <v>123</v>
      </c>
      <c r="O40" s="72"/>
      <c r="P40" s="72"/>
      <c r="Q40" s="72" t="s">
        <v>92</v>
      </c>
      <c r="R40" s="72"/>
      <c r="S40" s="467"/>
      <c r="T40" s="72"/>
      <c r="U40" s="72"/>
      <c r="V40" s="468"/>
      <c r="W40" s="469">
        <f>Z40*I40/2000</f>
        <v>0.09179999999999999</v>
      </c>
      <c r="X40" s="72"/>
      <c r="Y40" s="470">
        <v>2</v>
      </c>
      <c r="Z40" s="467">
        <v>5.1</v>
      </c>
      <c r="AA40" s="72" t="s">
        <v>673</v>
      </c>
      <c r="AB40" s="471" t="s">
        <v>383</v>
      </c>
    </row>
    <row r="41" spans="1:28" ht="12.75">
      <c r="A41" s="232" t="s">
        <v>202</v>
      </c>
      <c r="B41" s="467">
        <v>21569</v>
      </c>
      <c r="C41" s="72" t="s">
        <v>797</v>
      </c>
      <c r="D41" s="467">
        <v>20200102</v>
      </c>
      <c r="E41" s="72" t="s">
        <v>798</v>
      </c>
      <c r="F41" s="425" t="s">
        <v>114</v>
      </c>
      <c r="G41" s="467"/>
      <c r="H41" s="72" t="s">
        <v>232</v>
      </c>
      <c r="I41" s="72">
        <v>646</v>
      </c>
      <c r="J41" s="431" t="s">
        <v>697</v>
      </c>
      <c r="K41" s="72">
        <v>22</v>
      </c>
      <c r="L41" s="72" t="s">
        <v>613</v>
      </c>
      <c r="M41" s="467"/>
      <c r="N41" s="72"/>
      <c r="O41" s="72"/>
      <c r="P41" s="72"/>
      <c r="Q41" s="72" t="s">
        <v>92</v>
      </c>
      <c r="R41" s="72"/>
      <c r="S41" s="467"/>
      <c r="T41" s="72"/>
      <c r="U41" s="72"/>
      <c r="V41" s="468"/>
      <c r="W41" s="469">
        <f>Z41*K41*I41/2000</f>
        <v>0.014567300000000002</v>
      </c>
      <c r="X41" s="72"/>
      <c r="Y41" s="470">
        <v>2</v>
      </c>
      <c r="Z41" s="467">
        <v>0.00205</v>
      </c>
      <c r="AA41" s="72" t="s">
        <v>614</v>
      </c>
      <c r="AB41" s="471" t="s">
        <v>805</v>
      </c>
    </row>
    <row r="42" spans="1:28" ht="13.5" thickBot="1">
      <c r="A42" s="233" t="s">
        <v>202</v>
      </c>
      <c r="B42" s="472">
        <v>21568</v>
      </c>
      <c r="C42" s="207" t="s">
        <v>799</v>
      </c>
      <c r="D42" s="472">
        <v>20200102</v>
      </c>
      <c r="E42" s="207" t="s">
        <v>800</v>
      </c>
      <c r="F42" s="461" t="s">
        <v>114</v>
      </c>
      <c r="G42" s="472"/>
      <c r="H42" s="207" t="s">
        <v>232</v>
      </c>
      <c r="I42" s="207">
        <v>646</v>
      </c>
      <c r="J42" s="459" t="s">
        <v>697</v>
      </c>
      <c r="K42" s="207">
        <v>23</v>
      </c>
      <c r="L42" s="207" t="s">
        <v>613</v>
      </c>
      <c r="M42" s="472"/>
      <c r="N42" s="207"/>
      <c r="O42" s="207"/>
      <c r="P42" s="207"/>
      <c r="Q42" s="207" t="s">
        <v>92</v>
      </c>
      <c r="R42" s="207"/>
      <c r="S42" s="472"/>
      <c r="T42" s="207"/>
      <c r="U42" s="207"/>
      <c r="V42" s="473"/>
      <c r="W42" s="474">
        <f>Z42*K42*I42/2000</f>
        <v>0.015229450000000002</v>
      </c>
      <c r="X42" s="207"/>
      <c r="Y42" s="475">
        <v>2</v>
      </c>
      <c r="Z42" s="472">
        <v>0.00205</v>
      </c>
      <c r="AA42" s="207" t="s">
        <v>801</v>
      </c>
      <c r="AB42" s="476" t="s">
        <v>805</v>
      </c>
    </row>
    <row r="43" spans="13:28" ht="13.5" thickBot="1">
      <c r="M43"/>
      <c r="N43" s="37"/>
      <c r="V43" s="466" t="s">
        <v>118</v>
      </c>
      <c r="W43" s="437">
        <f>SUM(W10:W42)</f>
        <v>880.6386496</v>
      </c>
      <c r="X43" s="33"/>
      <c r="Y43" s="37"/>
      <c r="Z43" s="170"/>
      <c r="AA43" s="171"/>
      <c r="AB43"/>
    </row>
    <row r="44" ht="13.5" thickTop="1"/>
    <row r="45" ht="12.75">
      <c r="C45" t="s">
        <v>786</v>
      </c>
    </row>
    <row r="46" ht="12.75">
      <c r="C46" t="s">
        <v>803</v>
      </c>
    </row>
    <row r="47" ht="12.75">
      <c r="C47" s="477" t="s">
        <v>807</v>
      </c>
    </row>
    <row r="48" ht="12.75">
      <c r="C48" s="71" t="s">
        <v>806</v>
      </c>
    </row>
    <row r="49" ht="12.75">
      <c r="C49" s="71"/>
    </row>
    <row r="50" ht="12.75">
      <c r="C50" s="71"/>
    </row>
    <row r="51" ht="12.75">
      <c r="C51" s="71"/>
    </row>
    <row r="52" ht="12.75">
      <c r="C52" s="71"/>
    </row>
  </sheetData>
  <mergeCells count="24">
    <mergeCell ref="T8:T9"/>
    <mergeCell ref="AB7:AB9"/>
    <mergeCell ref="X7:X9"/>
    <mergeCell ref="Y7:Y9"/>
    <mergeCell ref="Z7:Z9"/>
    <mergeCell ref="AA7:AA9"/>
    <mergeCell ref="T7:U7"/>
    <mergeCell ref="V7:V9"/>
    <mergeCell ref="W7:W9"/>
    <mergeCell ref="U8:U9"/>
    <mergeCell ref="A7:A9"/>
    <mergeCell ref="B7:B9"/>
    <mergeCell ref="C7:C9"/>
    <mergeCell ref="D7:D9"/>
    <mergeCell ref="E7:E9"/>
    <mergeCell ref="F7:F9"/>
    <mergeCell ref="G7:G9"/>
    <mergeCell ref="H7:H9"/>
    <mergeCell ref="I7:L8"/>
    <mergeCell ref="M7:P8"/>
    <mergeCell ref="Q7:Q9"/>
    <mergeCell ref="R7:S7"/>
    <mergeCell ref="R8:R9"/>
    <mergeCell ref="S8:S9"/>
  </mergeCells>
  <printOptions/>
  <pageMargins left="0.75" right="0.75" top="1.21" bottom="0.51" header="0.18" footer="0.17"/>
  <pageSetup horizontalDpi="600" verticalDpi="600" orientation="landscape" pageOrder="overThenDown" r:id="rId1"/>
  <headerFooter alignWithMargins="0">
    <oddHeader>&amp;L
Geneva Steel
Site Name:  Steel Manufacturing Facility
Site ID:  10796&amp;C&amp;"Arial,Bold"Regional Haze
&amp;"Arial,Regular"1998 Statewide SOx Sources</oddHeader>
    <oddFooter>&amp;R&amp;D
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M40"/>
  <sheetViews>
    <sheetView workbookViewId="0" topLeftCell="R1">
      <selection activeCell="A1" sqref="A1"/>
    </sheetView>
  </sheetViews>
  <sheetFormatPr defaultColWidth="9.140625" defaultRowHeight="12.75"/>
  <cols>
    <col min="1" max="1" width="7.7109375" style="0" customWidth="1"/>
    <col min="2" max="2" width="6.00390625" style="0" customWidth="1"/>
    <col min="3" max="3" width="8.00390625" style="0" customWidth="1"/>
    <col min="4" max="4" width="9.57421875" style="0" customWidth="1"/>
    <col min="5" max="5" width="24.140625" style="0" customWidth="1"/>
    <col min="6" max="6" width="5.8515625" style="0" customWidth="1"/>
    <col min="7" max="7" width="11.28125" style="0" customWidth="1"/>
    <col min="8" max="8" width="16.8515625" style="0" customWidth="1"/>
    <col min="9" max="9" width="8.140625" style="0" customWidth="1"/>
    <col min="10" max="10" width="7.7109375" style="0" customWidth="1"/>
    <col min="11" max="11" width="7.28125" style="0" customWidth="1"/>
    <col min="12" max="12" width="7.8515625" style="0" customWidth="1"/>
    <col min="13" max="13" width="8.28125" style="0" customWidth="1"/>
    <col min="14" max="14" width="6.8515625" style="0" customWidth="1"/>
    <col min="15" max="15" width="6.7109375" style="0" customWidth="1"/>
    <col min="16" max="16" width="6.421875" style="0" customWidth="1"/>
    <col min="18" max="18" width="17.00390625" style="0" customWidth="1"/>
    <col min="20" max="20" width="11.28125" style="0" customWidth="1"/>
    <col min="21" max="21" width="9.7109375" style="0" customWidth="1"/>
    <col min="22" max="22" width="9.57421875" style="0" customWidth="1"/>
    <col min="23" max="23" width="10.28125" style="42" customWidth="1"/>
    <col min="24" max="24" width="11.140625" style="0" customWidth="1"/>
    <col min="25" max="25" width="8.7109375" style="0" customWidth="1"/>
    <col min="27" max="27" width="11.28125" style="0" customWidth="1"/>
    <col min="28" max="28" width="31.421875" style="0" customWidth="1"/>
  </cols>
  <sheetData>
    <row r="1" spans="1:5" ht="15.75">
      <c r="A1" s="12" t="s">
        <v>42</v>
      </c>
      <c r="B1" s="12"/>
      <c r="C1" s="53" t="s">
        <v>225</v>
      </c>
      <c r="E1" s="2" t="s">
        <v>84</v>
      </c>
    </row>
    <row r="2" spans="1:5" ht="15">
      <c r="A2" s="12"/>
      <c r="B2" s="12"/>
      <c r="C2" t="s">
        <v>659</v>
      </c>
      <c r="E2" s="3" t="s">
        <v>850</v>
      </c>
    </row>
    <row r="3" spans="1:3" ht="12.75">
      <c r="A3" s="12" t="s">
        <v>53</v>
      </c>
      <c r="B3" s="12" t="s">
        <v>54</v>
      </c>
      <c r="C3" s="53" t="s">
        <v>226</v>
      </c>
    </row>
    <row r="4" spans="1:2" ht="12.75">
      <c r="A4" s="52">
        <v>10313</v>
      </c>
      <c r="B4" s="12"/>
    </row>
    <row r="5" ht="13.5" thickBot="1"/>
    <row r="6" spans="1:65" ht="16.5" customHeight="1">
      <c r="A6" s="576" t="s">
        <v>83</v>
      </c>
      <c r="B6" s="541" t="s">
        <v>69</v>
      </c>
      <c r="C6" s="541" t="s">
        <v>68</v>
      </c>
      <c r="D6" s="541" t="s">
        <v>67</v>
      </c>
      <c r="E6" s="541" t="s">
        <v>66</v>
      </c>
      <c r="F6" s="541" t="s">
        <v>63</v>
      </c>
      <c r="G6" s="541" t="s">
        <v>64</v>
      </c>
      <c r="H6" s="541" t="s">
        <v>65</v>
      </c>
      <c r="I6" s="572" t="s">
        <v>439</v>
      </c>
      <c r="J6" s="596"/>
      <c r="K6" s="596"/>
      <c r="L6" s="596"/>
      <c r="M6" s="572" t="s">
        <v>55</v>
      </c>
      <c r="N6" s="596"/>
      <c r="O6" s="596"/>
      <c r="P6" s="596"/>
      <c r="Q6" s="541" t="s">
        <v>72</v>
      </c>
      <c r="R6" s="572" t="s">
        <v>70</v>
      </c>
      <c r="S6" s="572"/>
      <c r="T6" s="572" t="s">
        <v>71</v>
      </c>
      <c r="U6" s="572"/>
      <c r="V6" s="541" t="s">
        <v>80</v>
      </c>
      <c r="W6" s="640" t="s">
        <v>305</v>
      </c>
      <c r="X6" s="541" t="s">
        <v>74</v>
      </c>
      <c r="Y6" s="541" t="s">
        <v>76</v>
      </c>
      <c r="Z6" s="541" t="s">
        <v>77</v>
      </c>
      <c r="AA6" s="541" t="s">
        <v>78</v>
      </c>
      <c r="AB6" s="603" t="s">
        <v>79</v>
      </c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</row>
    <row r="7" spans="1:65" s="1" customFormat="1" ht="24.7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601"/>
      <c r="R7" s="557" t="s">
        <v>81</v>
      </c>
      <c r="S7" s="557" t="s">
        <v>73</v>
      </c>
      <c r="T7" s="557" t="s">
        <v>705</v>
      </c>
      <c r="U7" s="557" t="s">
        <v>73</v>
      </c>
      <c r="V7" s="557"/>
      <c r="W7" s="641"/>
      <c r="X7" s="557"/>
      <c r="Y7" s="557"/>
      <c r="Z7" s="557"/>
      <c r="AA7" s="601"/>
      <c r="AB7" s="604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ht="25.5" customHeight="1">
      <c r="A8" s="600"/>
      <c r="B8" s="598"/>
      <c r="C8" s="598"/>
      <c r="D8" s="598"/>
      <c r="E8" s="598"/>
      <c r="F8" s="598"/>
      <c r="G8" s="598"/>
      <c r="H8" s="598"/>
      <c r="I8" s="63" t="s">
        <v>57</v>
      </c>
      <c r="J8" s="63" t="s">
        <v>58</v>
      </c>
      <c r="K8" s="63" t="s">
        <v>56</v>
      </c>
      <c r="L8" s="63" t="s">
        <v>59</v>
      </c>
      <c r="M8" s="63" t="s">
        <v>60</v>
      </c>
      <c r="N8" s="63" t="s">
        <v>59</v>
      </c>
      <c r="O8" s="63" t="s">
        <v>61</v>
      </c>
      <c r="P8" s="63" t="s">
        <v>62</v>
      </c>
      <c r="Q8" s="601"/>
      <c r="R8" s="557"/>
      <c r="S8" s="557"/>
      <c r="T8" s="601"/>
      <c r="U8" s="557"/>
      <c r="V8" s="557"/>
      <c r="W8" s="641"/>
      <c r="X8" s="557"/>
      <c r="Y8" s="557"/>
      <c r="Z8" s="557"/>
      <c r="AA8" s="601"/>
      <c r="AB8" s="604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</row>
    <row r="9" spans="1:28" ht="12.75">
      <c r="A9" s="357" t="s">
        <v>135</v>
      </c>
      <c r="B9" s="356">
        <v>982</v>
      </c>
      <c r="C9" s="355" t="s">
        <v>227</v>
      </c>
      <c r="D9" s="356">
        <v>20200301</v>
      </c>
      <c r="E9" s="355" t="s">
        <v>228</v>
      </c>
      <c r="F9" s="356" t="s">
        <v>114</v>
      </c>
      <c r="G9" s="356">
        <v>0</v>
      </c>
      <c r="H9" s="355" t="s">
        <v>229</v>
      </c>
      <c r="I9" s="356">
        <v>4321</v>
      </c>
      <c r="J9" s="356" t="s">
        <v>653</v>
      </c>
      <c r="K9" s="356">
        <v>0</v>
      </c>
      <c r="L9" s="356">
        <v>0</v>
      </c>
      <c r="M9" s="356">
        <v>0</v>
      </c>
      <c r="N9" s="356">
        <v>0</v>
      </c>
      <c r="O9" s="356">
        <v>0</v>
      </c>
      <c r="P9" s="72">
        <v>0</v>
      </c>
      <c r="Q9" s="355" t="s">
        <v>92</v>
      </c>
      <c r="R9" s="355"/>
      <c r="S9" s="355"/>
      <c r="T9" s="355"/>
      <c r="U9" s="355"/>
      <c r="V9" s="355"/>
      <c r="W9" s="361">
        <f>(Z9*I9/1000)/2000</f>
        <v>0.011407440000000001</v>
      </c>
      <c r="X9" s="356">
        <v>0</v>
      </c>
      <c r="Y9" s="356">
        <v>3</v>
      </c>
      <c r="Z9" s="356">
        <v>5.28</v>
      </c>
      <c r="AA9" s="356" t="s">
        <v>654</v>
      </c>
      <c r="AB9" s="510" t="s">
        <v>24</v>
      </c>
    </row>
    <row r="10" spans="1:28" ht="12.75">
      <c r="A10" s="357" t="s">
        <v>135</v>
      </c>
      <c r="B10" s="356">
        <v>1030</v>
      </c>
      <c r="C10" s="355" t="s">
        <v>109</v>
      </c>
      <c r="D10" s="356">
        <v>20200101</v>
      </c>
      <c r="E10" s="355" t="s">
        <v>231</v>
      </c>
      <c r="F10" s="356" t="s">
        <v>114</v>
      </c>
      <c r="G10" s="356">
        <v>0</v>
      </c>
      <c r="H10" s="355" t="s">
        <v>232</v>
      </c>
      <c r="I10" s="356">
        <v>4037</v>
      </c>
      <c r="J10" s="356" t="s">
        <v>653</v>
      </c>
      <c r="K10" s="356">
        <v>0</v>
      </c>
      <c r="L10" s="356">
        <v>0</v>
      </c>
      <c r="M10" s="356">
        <v>0</v>
      </c>
      <c r="N10" s="356">
        <v>0</v>
      </c>
      <c r="O10" s="356">
        <v>0</v>
      </c>
      <c r="P10" s="72">
        <v>0</v>
      </c>
      <c r="Q10" s="355" t="s">
        <v>92</v>
      </c>
      <c r="R10" s="355"/>
      <c r="S10" s="355"/>
      <c r="T10" s="355"/>
      <c r="U10" s="355"/>
      <c r="V10" s="355"/>
      <c r="W10" s="361">
        <f>Z10*I10/1000/2000</f>
        <v>0.0629772</v>
      </c>
      <c r="X10" s="356" t="s">
        <v>91</v>
      </c>
      <c r="Y10" s="356">
        <v>3</v>
      </c>
      <c r="Z10" s="356">
        <v>31.2</v>
      </c>
      <c r="AA10" s="356" t="s">
        <v>654</v>
      </c>
      <c r="AB10" s="510" t="s">
        <v>24</v>
      </c>
    </row>
    <row r="11" spans="1:28" ht="12.75">
      <c r="A11" s="357" t="s">
        <v>135</v>
      </c>
      <c r="B11" s="356">
        <v>1197</v>
      </c>
      <c r="C11" s="355" t="s">
        <v>107</v>
      </c>
      <c r="D11" s="356">
        <v>20200101</v>
      </c>
      <c r="E11" s="355" t="s">
        <v>234</v>
      </c>
      <c r="F11" s="356" t="s">
        <v>114</v>
      </c>
      <c r="G11" s="356">
        <v>0</v>
      </c>
      <c r="H11" s="355" t="s">
        <v>232</v>
      </c>
      <c r="I11" s="356">
        <v>5742</v>
      </c>
      <c r="J11" s="356" t="s">
        <v>653</v>
      </c>
      <c r="K11" s="356">
        <v>0</v>
      </c>
      <c r="L11" s="356">
        <v>0</v>
      </c>
      <c r="M11" s="356">
        <v>0</v>
      </c>
      <c r="N11" s="356">
        <v>0</v>
      </c>
      <c r="O11" s="356">
        <v>0</v>
      </c>
      <c r="P11" s="72">
        <v>0</v>
      </c>
      <c r="Q11" s="355" t="s">
        <v>92</v>
      </c>
      <c r="R11" s="355"/>
      <c r="S11" s="355"/>
      <c r="T11" s="355"/>
      <c r="U11" s="355"/>
      <c r="V11" s="355"/>
      <c r="W11" s="361">
        <f>Z11*I11/1000/2000</f>
        <v>0.0892881</v>
      </c>
      <c r="X11" s="356" t="s">
        <v>91</v>
      </c>
      <c r="Y11" s="356">
        <v>3</v>
      </c>
      <c r="Z11" s="356">
        <v>31.1</v>
      </c>
      <c r="AA11" s="356" t="s">
        <v>654</v>
      </c>
      <c r="AB11" s="510" t="s">
        <v>24</v>
      </c>
    </row>
    <row r="12" spans="1:28" ht="12.75">
      <c r="A12" s="357" t="s">
        <v>135</v>
      </c>
      <c r="B12" s="356">
        <v>1198</v>
      </c>
      <c r="C12" s="355" t="s">
        <v>88</v>
      </c>
      <c r="D12" s="356">
        <v>20200101</v>
      </c>
      <c r="E12" s="355" t="s">
        <v>235</v>
      </c>
      <c r="F12" s="356" t="s">
        <v>114</v>
      </c>
      <c r="G12" s="356">
        <v>0</v>
      </c>
      <c r="H12" s="355" t="s">
        <v>232</v>
      </c>
      <c r="I12" s="356">
        <v>89793</v>
      </c>
      <c r="J12" s="356" t="s">
        <v>653</v>
      </c>
      <c r="K12" s="356">
        <v>0</v>
      </c>
      <c r="L12" s="356">
        <v>0</v>
      </c>
      <c r="M12" s="356">
        <v>0</v>
      </c>
      <c r="N12" s="356">
        <v>0</v>
      </c>
      <c r="O12" s="356">
        <v>0</v>
      </c>
      <c r="P12" s="72">
        <v>0</v>
      </c>
      <c r="Q12" s="355" t="s">
        <v>92</v>
      </c>
      <c r="R12" s="355"/>
      <c r="S12" s="355"/>
      <c r="T12" s="355"/>
      <c r="U12" s="355"/>
      <c r="V12" s="355"/>
      <c r="W12" s="361">
        <f>Z12*I12/1000/2000</f>
        <v>1.4007708</v>
      </c>
      <c r="X12" s="356" t="s">
        <v>91</v>
      </c>
      <c r="Y12" s="356">
        <v>3</v>
      </c>
      <c r="Z12" s="356">
        <v>31.2</v>
      </c>
      <c r="AA12" s="356" t="s">
        <v>654</v>
      </c>
      <c r="AB12" s="510" t="s">
        <v>24</v>
      </c>
    </row>
    <row r="13" spans="1:28" ht="12.75">
      <c r="A13" s="357" t="s">
        <v>135</v>
      </c>
      <c r="B13" s="356">
        <v>1199</v>
      </c>
      <c r="C13" s="355" t="s">
        <v>103</v>
      </c>
      <c r="D13" s="356">
        <v>20200101</v>
      </c>
      <c r="E13" s="355" t="s">
        <v>236</v>
      </c>
      <c r="F13" s="356" t="s">
        <v>114</v>
      </c>
      <c r="G13" s="356">
        <v>0</v>
      </c>
      <c r="H13" s="355" t="s">
        <v>232</v>
      </c>
      <c r="I13" s="356">
        <v>110442</v>
      </c>
      <c r="J13" s="356" t="s">
        <v>653</v>
      </c>
      <c r="K13" s="356">
        <v>0</v>
      </c>
      <c r="L13" s="356">
        <v>0</v>
      </c>
      <c r="M13" s="356">
        <v>0</v>
      </c>
      <c r="N13" s="356">
        <v>0</v>
      </c>
      <c r="O13" s="356">
        <v>0</v>
      </c>
      <c r="P13" s="72">
        <v>0</v>
      </c>
      <c r="Q13" s="355" t="s">
        <v>92</v>
      </c>
      <c r="R13" s="355"/>
      <c r="S13" s="355"/>
      <c r="T13" s="355"/>
      <c r="U13" s="355"/>
      <c r="V13" s="355"/>
      <c r="W13" s="361">
        <f>Z13*I13/1000/2000</f>
        <v>1.7228952</v>
      </c>
      <c r="X13" s="356" t="s">
        <v>91</v>
      </c>
      <c r="Y13" s="356">
        <v>3</v>
      </c>
      <c r="Z13" s="356">
        <v>31.2</v>
      </c>
      <c r="AA13" s="356" t="s">
        <v>654</v>
      </c>
      <c r="AB13" s="510" t="s">
        <v>24</v>
      </c>
    </row>
    <row r="14" spans="1:28" ht="12.75">
      <c r="A14" s="357" t="s">
        <v>88</v>
      </c>
      <c r="B14" s="356">
        <v>1306</v>
      </c>
      <c r="C14" s="355" t="s">
        <v>237</v>
      </c>
      <c r="D14" s="356">
        <v>30501604</v>
      </c>
      <c r="E14" s="355" t="s">
        <v>238</v>
      </c>
      <c r="F14" s="356" t="s">
        <v>115</v>
      </c>
      <c r="G14" s="356">
        <v>71</v>
      </c>
      <c r="H14" s="355" t="s">
        <v>239</v>
      </c>
      <c r="I14" s="356">
        <v>3311</v>
      </c>
      <c r="J14" s="356" t="s">
        <v>708</v>
      </c>
      <c r="K14" s="356">
        <v>600</v>
      </c>
      <c r="L14" s="356" t="s">
        <v>545</v>
      </c>
      <c r="M14" s="356" t="s">
        <v>215</v>
      </c>
      <c r="N14" s="356" t="s">
        <v>215</v>
      </c>
      <c r="O14" s="356" t="s">
        <v>215</v>
      </c>
      <c r="P14" s="356" t="s">
        <v>215</v>
      </c>
      <c r="Q14" s="355" t="s">
        <v>92</v>
      </c>
      <c r="R14" s="355" t="s">
        <v>447</v>
      </c>
      <c r="S14" s="355">
        <v>2</v>
      </c>
      <c r="T14" s="355"/>
      <c r="U14" s="355"/>
      <c r="V14" s="355">
        <v>80</v>
      </c>
      <c r="W14" s="361">
        <f>(Z14*I14/2000)+X14</f>
        <v>37.0832</v>
      </c>
      <c r="X14" s="356">
        <v>0</v>
      </c>
      <c r="Y14" s="356">
        <v>5</v>
      </c>
      <c r="Z14" s="356">
        <v>22.4</v>
      </c>
      <c r="AA14" s="356" t="s">
        <v>394</v>
      </c>
      <c r="AB14" s="510" t="s">
        <v>13</v>
      </c>
    </row>
    <row r="15" spans="1:28" ht="12.75">
      <c r="A15" s="357" t="s">
        <v>88</v>
      </c>
      <c r="B15" s="356">
        <v>1307</v>
      </c>
      <c r="C15" s="355" t="s">
        <v>241</v>
      </c>
      <c r="D15" s="356">
        <v>30501604</v>
      </c>
      <c r="E15" s="355" t="s">
        <v>242</v>
      </c>
      <c r="F15" s="356" t="s">
        <v>115</v>
      </c>
      <c r="G15" s="356">
        <v>72</v>
      </c>
      <c r="H15" s="355" t="s">
        <v>239</v>
      </c>
      <c r="I15" s="356">
        <v>2764</v>
      </c>
      <c r="J15" s="356" t="s">
        <v>708</v>
      </c>
      <c r="K15" s="356">
        <v>600</v>
      </c>
      <c r="L15" s="356" t="s">
        <v>545</v>
      </c>
      <c r="M15" s="356">
        <v>0</v>
      </c>
      <c r="N15" s="356">
        <v>0</v>
      </c>
      <c r="O15" s="356" t="s">
        <v>91</v>
      </c>
      <c r="P15" s="356" t="s">
        <v>91</v>
      </c>
      <c r="Q15" s="355" t="s">
        <v>92</v>
      </c>
      <c r="R15" s="355" t="s">
        <v>656</v>
      </c>
      <c r="S15" s="355">
        <v>16</v>
      </c>
      <c r="T15" s="355"/>
      <c r="U15" s="355"/>
      <c r="V15" s="355">
        <v>99.8</v>
      </c>
      <c r="W15" s="361">
        <f>(Z15*I15/2000)</f>
        <v>30.956799999999998</v>
      </c>
      <c r="X15" s="356">
        <v>0.43</v>
      </c>
      <c r="Y15" s="356">
        <v>5</v>
      </c>
      <c r="Z15" s="356">
        <v>22.4</v>
      </c>
      <c r="AA15" s="356" t="s">
        <v>394</v>
      </c>
      <c r="AB15" s="510" t="s">
        <v>13</v>
      </c>
    </row>
    <row r="16" spans="1:28" ht="12.75">
      <c r="A16" s="357" t="s">
        <v>135</v>
      </c>
      <c r="B16" s="356">
        <v>9664</v>
      </c>
      <c r="C16" s="355" t="s">
        <v>245</v>
      </c>
      <c r="D16" s="356">
        <v>20200101</v>
      </c>
      <c r="E16" s="355" t="s">
        <v>657</v>
      </c>
      <c r="F16" s="356" t="s">
        <v>114</v>
      </c>
      <c r="G16" s="356">
        <v>0</v>
      </c>
      <c r="H16" s="355" t="s">
        <v>232</v>
      </c>
      <c r="I16" s="356">
        <v>10919</v>
      </c>
      <c r="J16" s="356" t="s">
        <v>653</v>
      </c>
      <c r="K16" s="356"/>
      <c r="L16" s="356">
        <v>0</v>
      </c>
      <c r="M16" s="356">
        <v>0</v>
      </c>
      <c r="N16" s="356">
        <v>0</v>
      </c>
      <c r="O16" s="356">
        <v>0</v>
      </c>
      <c r="P16" s="356">
        <v>0</v>
      </c>
      <c r="Q16" s="355" t="s">
        <v>92</v>
      </c>
      <c r="R16" s="355"/>
      <c r="S16" s="355"/>
      <c r="T16" s="355"/>
      <c r="U16" s="355"/>
      <c r="V16" s="355"/>
      <c r="W16" s="361">
        <f aca="true" t="shared" si="0" ref="W16:W21">Z16*I16/1000/2000</f>
        <v>0.1703364</v>
      </c>
      <c r="X16" s="356" t="s">
        <v>91</v>
      </c>
      <c r="Y16" s="356">
        <v>3</v>
      </c>
      <c r="Z16" s="356">
        <v>31.2</v>
      </c>
      <c r="AA16" s="356" t="s">
        <v>654</v>
      </c>
      <c r="AB16" s="510" t="s">
        <v>24</v>
      </c>
    </row>
    <row r="17" spans="1:28" ht="12.75">
      <c r="A17" s="357" t="s">
        <v>135</v>
      </c>
      <c r="B17" s="356">
        <v>9665</v>
      </c>
      <c r="C17" s="355" t="s">
        <v>247</v>
      </c>
      <c r="D17" s="356">
        <v>20200101</v>
      </c>
      <c r="E17" s="355" t="s">
        <v>248</v>
      </c>
      <c r="F17" s="356" t="s">
        <v>114</v>
      </c>
      <c r="G17" s="356">
        <v>0</v>
      </c>
      <c r="H17" s="355" t="s">
        <v>232</v>
      </c>
      <c r="I17" s="356">
        <v>3784</v>
      </c>
      <c r="J17" s="356" t="s">
        <v>653</v>
      </c>
      <c r="K17" s="356"/>
      <c r="L17" s="356">
        <v>0</v>
      </c>
      <c r="M17" s="356">
        <v>0</v>
      </c>
      <c r="N17" s="356">
        <v>0</v>
      </c>
      <c r="O17" s="356">
        <v>0</v>
      </c>
      <c r="P17" s="356">
        <v>0</v>
      </c>
      <c r="Q17" s="355" t="s">
        <v>92</v>
      </c>
      <c r="R17" s="355"/>
      <c r="S17" s="355"/>
      <c r="T17" s="355"/>
      <c r="U17" s="355"/>
      <c r="V17" s="355"/>
      <c r="W17" s="361">
        <f t="shared" si="0"/>
        <v>0.05868984</v>
      </c>
      <c r="X17" s="356" t="s">
        <v>91</v>
      </c>
      <c r="Y17" s="356">
        <v>3</v>
      </c>
      <c r="Z17" s="356">
        <v>31.02</v>
      </c>
      <c r="AA17" s="356" t="s">
        <v>654</v>
      </c>
      <c r="AB17" s="510" t="s">
        <v>24</v>
      </c>
    </row>
    <row r="18" spans="1:28" ht="12.75">
      <c r="A18" s="357" t="s">
        <v>135</v>
      </c>
      <c r="B18" s="356">
        <v>9666</v>
      </c>
      <c r="C18" s="355" t="s">
        <v>249</v>
      </c>
      <c r="D18" s="356">
        <v>20200101</v>
      </c>
      <c r="E18" s="355" t="s">
        <v>250</v>
      </c>
      <c r="F18" s="356" t="s">
        <v>114</v>
      </c>
      <c r="G18" s="356">
        <v>0</v>
      </c>
      <c r="H18" s="355" t="s">
        <v>232</v>
      </c>
      <c r="I18" s="356">
        <v>25659</v>
      </c>
      <c r="J18" s="356" t="s">
        <v>653</v>
      </c>
      <c r="K18" s="356"/>
      <c r="L18" s="356">
        <v>0</v>
      </c>
      <c r="M18" s="356">
        <v>0</v>
      </c>
      <c r="N18" s="356">
        <v>0</v>
      </c>
      <c r="O18" s="356">
        <v>0</v>
      </c>
      <c r="P18" s="356">
        <v>0</v>
      </c>
      <c r="Q18" s="355" t="s">
        <v>92</v>
      </c>
      <c r="R18" s="355"/>
      <c r="S18" s="355"/>
      <c r="T18" s="355"/>
      <c r="U18" s="355"/>
      <c r="V18" s="355"/>
      <c r="W18" s="361">
        <f t="shared" si="0"/>
        <v>0.39899745000000003</v>
      </c>
      <c r="X18" s="356" t="s">
        <v>91</v>
      </c>
      <c r="Y18" s="356">
        <v>3</v>
      </c>
      <c r="Z18" s="356">
        <v>31.1</v>
      </c>
      <c r="AA18" s="356" t="s">
        <v>654</v>
      </c>
      <c r="AB18" s="510" t="s">
        <v>24</v>
      </c>
    </row>
    <row r="19" spans="1:28" ht="12.75">
      <c r="A19" s="357" t="s">
        <v>88</v>
      </c>
      <c r="B19" s="356">
        <v>11726</v>
      </c>
      <c r="C19" s="355" t="s">
        <v>251</v>
      </c>
      <c r="D19" s="356">
        <v>10301002</v>
      </c>
      <c r="E19" s="355" t="s">
        <v>252</v>
      </c>
      <c r="F19" s="356" t="s">
        <v>114</v>
      </c>
      <c r="G19" s="356">
        <v>71</v>
      </c>
      <c r="H19" s="355" t="s">
        <v>253</v>
      </c>
      <c r="I19" s="356">
        <v>6860</v>
      </c>
      <c r="J19" s="356" t="s">
        <v>653</v>
      </c>
      <c r="K19" s="356"/>
      <c r="L19" s="356">
        <v>0</v>
      </c>
      <c r="M19" s="356">
        <v>21500</v>
      </c>
      <c r="N19" s="356" t="s">
        <v>123</v>
      </c>
      <c r="O19" s="356">
        <v>0</v>
      </c>
      <c r="P19" s="356">
        <v>0</v>
      </c>
      <c r="Q19" s="355" t="s">
        <v>92</v>
      </c>
      <c r="R19" s="355"/>
      <c r="S19" s="355"/>
      <c r="T19" s="355"/>
      <c r="U19" s="355"/>
      <c r="V19" s="355"/>
      <c r="W19" s="361">
        <f t="shared" si="0"/>
        <v>0.0010632999999999999</v>
      </c>
      <c r="X19" s="356">
        <v>0</v>
      </c>
      <c r="Y19" s="356">
        <v>3</v>
      </c>
      <c r="Z19" s="356">
        <v>0.31</v>
      </c>
      <c r="AA19" s="356" t="s">
        <v>654</v>
      </c>
      <c r="AB19" s="510" t="s">
        <v>254</v>
      </c>
    </row>
    <row r="20" spans="1:28" ht="12.75">
      <c r="A20" s="357" t="s">
        <v>88</v>
      </c>
      <c r="B20" s="356">
        <v>11727</v>
      </c>
      <c r="C20" s="355" t="s">
        <v>255</v>
      </c>
      <c r="D20" s="356">
        <v>10301002</v>
      </c>
      <c r="E20" s="355" t="s">
        <v>256</v>
      </c>
      <c r="F20" s="356" t="s">
        <v>114</v>
      </c>
      <c r="G20" s="356">
        <v>72</v>
      </c>
      <c r="H20" s="355" t="s">
        <v>253</v>
      </c>
      <c r="I20" s="356">
        <v>1675</v>
      </c>
      <c r="J20" s="356" t="s">
        <v>653</v>
      </c>
      <c r="K20" s="356"/>
      <c r="L20" s="356">
        <v>0</v>
      </c>
      <c r="M20" s="356">
        <v>0.075</v>
      </c>
      <c r="N20" s="356" t="s">
        <v>123</v>
      </c>
      <c r="O20" s="356">
        <v>0</v>
      </c>
      <c r="P20" s="356">
        <v>0</v>
      </c>
      <c r="Q20" s="355" t="s">
        <v>92</v>
      </c>
      <c r="R20" s="355"/>
      <c r="S20" s="355"/>
      <c r="T20" s="355"/>
      <c r="U20" s="355"/>
      <c r="V20" s="355"/>
      <c r="W20" s="361">
        <f t="shared" si="0"/>
        <v>0.000259625</v>
      </c>
      <c r="X20" s="356">
        <v>0</v>
      </c>
      <c r="Y20" s="356">
        <v>3</v>
      </c>
      <c r="Z20" s="356">
        <v>0.31</v>
      </c>
      <c r="AA20" s="356" t="s">
        <v>654</v>
      </c>
      <c r="AB20" s="510" t="s">
        <v>254</v>
      </c>
    </row>
    <row r="21" spans="1:28" ht="12.75">
      <c r="A21" s="357" t="s">
        <v>88</v>
      </c>
      <c r="B21" s="356">
        <v>11728</v>
      </c>
      <c r="C21" s="355" t="s">
        <v>257</v>
      </c>
      <c r="D21" s="356">
        <v>10301002</v>
      </c>
      <c r="E21" s="355" t="s">
        <v>258</v>
      </c>
      <c r="F21" s="356" t="s">
        <v>114</v>
      </c>
      <c r="G21" s="356">
        <v>73</v>
      </c>
      <c r="H21" s="355" t="s">
        <v>253</v>
      </c>
      <c r="I21" s="356">
        <v>11633</v>
      </c>
      <c r="J21" s="356" t="s">
        <v>653</v>
      </c>
      <c r="K21" s="356"/>
      <c r="L21" s="356">
        <v>0</v>
      </c>
      <c r="M21" s="356">
        <v>21500</v>
      </c>
      <c r="N21" s="356" t="s">
        <v>123</v>
      </c>
      <c r="O21" s="356">
        <v>0</v>
      </c>
      <c r="P21" s="356">
        <v>0</v>
      </c>
      <c r="Q21" s="355" t="s">
        <v>92</v>
      </c>
      <c r="R21" s="355"/>
      <c r="S21" s="355"/>
      <c r="T21" s="355"/>
      <c r="U21" s="355"/>
      <c r="V21" s="355"/>
      <c r="W21" s="361">
        <f t="shared" si="0"/>
        <v>0.001803115</v>
      </c>
      <c r="X21" s="356">
        <v>0</v>
      </c>
      <c r="Y21" s="356">
        <v>3</v>
      </c>
      <c r="Z21" s="356">
        <v>0.31</v>
      </c>
      <c r="AA21" s="356" t="s">
        <v>654</v>
      </c>
      <c r="AB21" s="510" t="s">
        <v>259</v>
      </c>
    </row>
    <row r="22" spans="1:28" ht="12.75">
      <c r="A22" s="357">
        <v>6</v>
      </c>
      <c r="B22" s="356">
        <v>5188</v>
      </c>
      <c r="C22" s="355">
        <v>2</v>
      </c>
      <c r="D22" s="356">
        <v>30502009</v>
      </c>
      <c r="E22" s="355" t="s">
        <v>20</v>
      </c>
      <c r="F22" s="356"/>
      <c r="G22" s="356"/>
      <c r="H22" s="355" t="s">
        <v>239</v>
      </c>
      <c r="I22" s="356">
        <v>233.25</v>
      </c>
      <c r="J22" s="356" t="s">
        <v>23</v>
      </c>
      <c r="K22" s="356"/>
      <c r="L22" s="356"/>
      <c r="M22" s="356"/>
      <c r="N22" s="356"/>
      <c r="O22" s="356"/>
      <c r="P22" s="356"/>
      <c r="Q22" s="355" t="s">
        <v>92</v>
      </c>
      <c r="R22" s="355"/>
      <c r="S22" s="355"/>
      <c r="T22" s="355"/>
      <c r="U22" s="355"/>
      <c r="V22" s="355"/>
      <c r="W22" s="361">
        <f>Z22*I22/2000</f>
        <v>0.23325</v>
      </c>
      <c r="X22" s="356" t="s">
        <v>133</v>
      </c>
      <c r="Y22" s="356">
        <v>3</v>
      </c>
      <c r="Z22" s="356">
        <v>2</v>
      </c>
      <c r="AA22" s="356" t="s">
        <v>14</v>
      </c>
      <c r="AB22" s="510" t="s">
        <v>15</v>
      </c>
    </row>
    <row r="23" spans="1:28" ht="12.75">
      <c r="A23" s="357">
        <v>2</v>
      </c>
      <c r="B23" s="356">
        <v>20138</v>
      </c>
      <c r="C23" s="355">
        <v>52</v>
      </c>
      <c r="D23" s="356">
        <v>30501604</v>
      </c>
      <c r="E23" s="355" t="s">
        <v>17</v>
      </c>
      <c r="F23" s="356" t="s">
        <v>115</v>
      </c>
      <c r="G23" s="356">
        <v>73</v>
      </c>
      <c r="H23" s="355" t="s">
        <v>18</v>
      </c>
      <c r="I23" s="356">
        <v>6255</v>
      </c>
      <c r="J23" s="356" t="s">
        <v>708</v>
      </c>
      <c r="K23" s="356"/>
      <c r="L23" s="356"/>
      <c r="M23" s="356"/>
      <c r="N23" s="356"/>
      <c r="O23" s="356"/>
      <c r="P23" s="356"/>
      <c r="Q23" s="355" t="s">
        <v>92</v>
      </c>
      <c r="R23" s="355"/>
      <c r="S23" s="355"/>
      <c r="T23" s="355"/>
      <c r="U23" s="355"/>
      <c r="V23" s="355"/>
      <c r="W23" s="361">
        <f>Z23*I23/2000</f>
        <v>120.096</v>
      </c>
      <c r="X23" s="356">
        <v>1.6</v>
      </c>
      <c r="Y23" s="356">
        <v>5</v>
      </c>
      <c r="Z23" s="356">
        <v>38.4</v>
      </c>
      <c r="AA23" s="356" t="s">
        <v>394</v>
      </c>
      <c r="AB23" s="510" t="s">
        <v>13</v>
      </c>
    </row>
    <row r="24" spans="1:28" ht="12.75">
      <c r="A24" s="357">
        <v>2</v>
      </c>
      <c r="B24" s="356">
        <v>20141</v>
      </c>
      <c r="C24" s="355" t="s">
        <v>774</v>
      </c>
      <c r="D24" s="356">
        <v>10301002</v>
      </c>
      <c r="E24" s="355" t="s">
        <v>19</v>
      </c>
      <c r="F24" s="356" t="s">
        <v>114</v>
      </c>
      <c r="G24" s="356">
        <v>73</v>
      </c>
      <c r="H24" s="355" t="s">
        <v>253</v>
      </c>
      <c r="I24" s="356">
        <v>8798</v>
      </c>
      <c r="J24" s="356" t="s">
        <v>653</v>
      </c>
      <c r="K24" s="356"/>
      <c r="L24" s="356"/>
      <c r="M24" s="356">
        <v>21500</v>
      </c>
      <c r="N24" s="356" t="s">
        <v>123</v>
      </c>
      <c r="O24" s="356">
        <v>0</v>
      </c>
      <c r="P24" s="356">
        <v>0</v>
      </c>
      <c r="Q24" s="355" t="s">
        <v>92</v>
      </c>
      <c r="R24" s="355"/>
      <c r="S24" s="355"/>
      <c r="T24" s="355"/>
      <c r="U24" s="355"/>
      <c r="V24" s="355"/>
      <c r="W24" s="361">
        <f>(Z24*I24/2000)/1000</f>
        <v>0.00136369</v>
      </c>
      <c r="X24" s="356" t="s">
        <v>133</v>
      </c>
      <c r="Y24" s="356">
        <v>3</v>
      </c>
      <c r="Z24" s="356">
        <v>0.31</v>
      </c>
      <c r="AA24" s="356" t="s">
        <v>654</v>
      </c>
      <c r="AB24" s="510" t="s">
        <v>233</v>
      </c>
    </row>
    <row r="25" spans="1:28" ht="13.5" thickBot="1">
      <c r="A25" s="358">
        <v>2</v>
      </c>
      <c r="B25" s="359">
        <v>11730</v>
      </c>
      <c r="C25" s="360" t="s">
        <v>751</v>
      </c>
      <c r="D25" s="359">
        <v>30501640</v>
      </c>
      <c r="E25" s="360" t="s">
        <v>22</v>
      </c>
      <c r="F25" s="359" t="s">
        <v>114</v>
      </c>
      <c r="G25" s="359">
        <v>73</v>
      </c>
      <c r="H25" s="360" t="s">
        <v>21</v>
      </c>
      <c r="I25" s="359">
        <v>6066</v>
      </c>
      <c r="J25" s="359" t="s">
        <v>708</v>
      </c>
      <c r="K25" s="207"/>
      <c r="L25" s="207"/>
      <c r="M25" s="359">
        <v>11400</v>
      </c>
      <c r="N25" s="359" t="s">
        <v>48</v>
      </c>
      <c r="O25" s="359">
        <v>0.8</v>
      </c>
      <c r="P25" s="359">
        <v>9</v>
      </c>
      <c r="Q25" s="360" t="s">
        <v>92</v>
      </c>
      <c r="R25" s="360"/>
      <c r="S25" s="360"/>
      <c r="T25" s="360"/>
      <c r="U25" s="360"/>
      <c r="V25" s="360"/>
      <c r="W25" s="362">
        <f>Z25*I25/2000</f>
        <v>82.49759999999999</v>
      </c>
      <c r="X25" s="359">
        <v>1.54</v>
      </c>
      <c r="Y25" s="359">
        <v>5</v>
      </c>
      <c r="Z25" s="359">
        <v>27.2</v>
      </c>
      <c r="AA25" s="359" t="s">
        <v>394</v>
      </c>
      <c r="AB25" s="511" t="s">
        <v>750</v>
      </c>
    </row>
    <row r="26" spans="22:23" ht="13.5" thickBot="1">
      <c r="V26" s="436" t="s">
        <v>118</v>
      </c>
      <c r="W26" s="493">
        <f>SUM(W9:W25)</f>
        <v>274.78670216</v>
      </c>
    </row>
    <row r="27" ht="13.5" thickTop="1">
      <c r="C27" s="12" t="s">
        <v>610</v>
      </c>
    </row>
    <row r="28" ht="12.75">
      <c r="C28" t="s">
        <v>658</v>
      </c>
    </row>
    <row r="29" ht="12.75">
      <c r="D29" t="s">
        <v>655</v>
      </c>
    </row>
    <row r="30" ht="12.75">
      <c r="C30">
        <v>1306</v>
      </c>
    </row>
    <row r="31" ht="12.75">
      <c r="D31" t="s">
        <v>25</v>
      </c>
    </row>
    <row r="32" ht="12.75">
      <c r="C32">
        <v>1307</v>
      </c>
    </row>
    <row r="33" ht="12.75">
      <c r="D33" t="s">
        <v>26</v>
      </c>
    </row>
    <row r="34" ht="12.75">
      <c r="C34">
        <v>1308</v>
      </c>
    </row>
    <row r="35" ht="12.75">
      <c r="D35" t="s">
        <v>27</v>
      </c>
    </row>
    <row r="37" ht="12.75">
      <c r="C37" t="s">
        <v>845</v>
      </c>
    </row>
    <row r="38" ht="12.75">
      <c r="D38" t="s">
        <v>29</v>
      </c>
    </row>
    <row r="39" ht="12.75">
      <c r="D39" t="s">
        <v>16</v>
      </c>
    </row>
    <row r="40" ht="12.75">
      <c r="D40" t="s">
        <v>28</v>
      </c>
    </row>
  </sheetData>
  <mergeCells count="24">
    <mergeCell ref="AB6:AB8"/>
    <mergeCell ref="X6:X8"/>
    <mergeCell ref="Y6:Y8"/>
    <mergeCell ref="Z6:Z8"/>
    <mergeCell ref="AA6:AA8"/>
    <mergeCell ref="T6:U6"/>
    <mergeCell ref="V6:V8"/>
    <mergeCell ref="W6:W8"/>
    <mergeCell ref="U7:U8"/>
    <mergeCell ref="T7:T8"/>
    <mergeCell ref="A6:A8"/>
    <mergeCell ref="B6:B8"/>
    <mergeCell ref="C6:C8"/>
    <mergeCell ref="D6:D8"/>
    <mergeCell ref="E6:E8"/>
    <mergeCell ref="F6:F8"/>
    <mergeCell ref="G6:G8"/>
    <mergeCell ref="H6:H8"/>
    <mergeCell ref="I6:L7"/>
    <mergeCell ref="M6:P7"/>
    <mergeCell ref="Q6:Q8"/>
    <mergeCell ref="R6:S6"/>
    <mergeCell ref="R7:R8"/>
    <mergeCell ref="S7:S8"/>
  </mergeCells>
  <printOptions/>
  <pageMargins left="0.75" right="0.75" top="0.95" bottom="0.67" header="0.24" footer="0.26"/>
  <pageSetup horizontalDpi="600" verticalDpi="600" orientation="landscape" r:id="rId1"/>
  <headerFooter alignWithMargins="0">
    <oddHeader>&amp;LGraymont Western US Inc.
(was Continental Lime
Site Name:  Cricket Mountain Plant
Site ID:  10313&amp;C&amp;"Arial,Bold"Regional Haze&amp;"Arial,Regular"
1998 Statewide SOx Sources</oddHeader>
    <oddFooter>&amp;R&amp;D
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Air Quality</dc:creator>
  <cp:keywords/>
  <dc:description/>
  <cp:lastModifiedBy>dmcmurtr</cp:lastModifiedBy>
  <cp:lastPrinted>2003-10-10T18:55:04Z</cp:lastPrinted>
  <dcterms:created xsi:type="dcterms:W3CDTF">2001-07-26T03:10:30Z</dcterms:created>
  <dcterms:modified xsi:type="dcterms:W3CDTF">2003-12-05T21:00:41Z</dcterms:modified>
  <cp:category/>
  <cp:version/>
  <cp:contentType/>
  <cp:contentStatus/>
</cp:coreProperties>
</file>